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3"/>
  <workbookPr codeName="ThisWorkbook"/>
  <mc:AlternateContent xmlns:mc="http://schemas.openxmlformats.org/markup-compatibility/2006">
    <mc:Choice Requires="x15">
      <x15ac:absPath xmlns:x15ac="http://schemas.microsoft.com/office/spreadsheetml/2010/11/ac" url="/Users/vandang/Documents/DAO TAO/Bieu mau Dao tao/"/>
    </mc:Choice>
  </mc:AlternateContent>
  <xr:revisionPtr revIDLastSave="0" documentId="8_{6BCCA824-4C79-4345-8E52-4795A23AEA74}" xr6:coauthVersionLast="45" xr6:coauthVersionMax="45" xr10:uidLastSave="{00000000-0000-0000-0000-000000000000}"/>
  <bookViews>
    <workbookView xWindow="0" yWindow="0" windowWidth="28800" windowHeight="18000" firstSheet="1" activeTab="6" xr2:uid="{00000000-000D-0000-FFFF-FFFF00000000}"/>
  </bookViews>
  <sheets>
    <sheet name="Dự báo doanh thu" sheetId="2" state="hidden" r:id="rId1"/>
    <sheet name="Phan bo Tai chinh" sheetId="3" state="hidden" r:id="rId2"/>
    <sheet name="Dau tu va phan tich TC" sheetId="4" state="hidden" r:id="rId3"/>
    <sheet name="ĐT và PT tài chính (Bản chuẩn)" sheetId="11" r:id="rId4"/>
    <sheet name="Phân bổ tài chính (Bản chuẩn)" sheetId="6" r:id="rId5"/>
    <sheet name="Ke hoach doanh thu" sheetId="12" r:id="rId6"/>
    <sheet name="BÁO CÁO" sheetId="13" r:id="rId7"/>
  </sheets>
  <definedNames>
    <definedName name="_xlnm.Print_Area" localSheetId="0">'Dự báo doanh thu'!$A$1:$F$87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5" i="13" l="1"/>
  <c r="D60" i="13" l="1"/>
  <c r="C60" i="13"/>
  <c r="B60" i="13"/>
  <c r="B59" i="13"/>
  <c r="B58" i="13"/>
  <c r="J52" i="6" l="1"/>
  <c r="D45" i="13" s="1"/>
  <c r="K90" i="6"/>
  <c r="K14" i="6"/>
  <c r="I90" i="6"/>
  <c r="I14" i="6"/>
  <c r="H47" i="6"/>
  <c r="J47" i="6"/>
  <c r="E4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17" i="6"/>
  <c r="M42" i="6"/>
  <c r="N42" i="6" s="1"/>
  <c r="L42" i="6"/>
  <c r="L43" i="6"/>
  <c r="L44" i="6"/>
  <c r="L45" i="6"/>
  <c r="L41" i="6"/>
  <c r="L36" i="6"/>
  <c r="L37" i="6"/>
  <c r="L38" i="6"/>
  <c r="L39" i="6"/>
  <c r="L35" i="6"/>
  <c r="L30" i="6"/>
  <c r="L31" i="6"/>
  <c r="L32" i="6"/>
  <c r="L33" i="6"/>
  <c r="L29" i="6"/>
  <c r="L24" i="6"/>
  <c r="L25" i="6"/>
  <c r="L26" i="6"/>
  <c r="L27" i="6"/>
  <c r="L23" i="6"/>
  <c r="L18" i="6"/>
  <c r="L19" i="6"/>
  <c r="L20" i="6"/>
  <c r="L21" i="6"/>
  <c r="L17" i="6"/>
  <c r="AL35" i="12"/>
  <c r="AN35" i="12"/>
  <c r="V35" i="12"/>
  <c r="X35" i="12"/>
  <c r="AB35" i="12"/>
  <c r="AD35" i="12"/>
  <c r="AF35" i="12"/>
  <c r="AJ35" i="12"/>
  <c r="T35" i="12"/>
  <c r="L35" i="12"/>
  <c r="N35" i="12"/>
  <c r="P35" i="12"/>
  <c r="G35" i="12"/>
  <c r="G29" i="12" s="1"/>
  <c r="G17" i="12"/>
  <c r="AP40" i="12"/>
  <c r="AQ40" i="12" s="1"/>
  <c r="AO40" i="12"/>
  <c r="AM40" i="12"/>
  <c r="AK40" i="12"/>
  <c r="AH40" i="12"/>
  <c r="AI40" i="12" s="1"/>
  <c r="AG40" i="12"/>
  <c r="AE40" i="12"/>
  <c r="AC40" i="12"/>
  <c r="Z40" i="12"/>
  <c r="AA40" i="12" s="1"/>
  <c r="Y40" i="12"/>
  <c r="W40" i="12"/>
  <c r="U40" i="12"/>
  <c r="R40" i="12"/>
  <c r="Q40" i="12"/>
  <c r="O40" i="12"/>
  <c r="M40" i="12"/>
  <c r="J40" i="12"/>
  <c r="E45" i="6" s="1"/>
  <c r="AP39" i="12"/>
  <c r="AQ39" i="12" s="1"/>
  <c r="AO39" i="12"/>
  <c r="AO35" i="12" s="1"/>
  <c r="AM39" i="12"/>
  <c r="AK39" i="12"/>
  <c r="AH39" i="12"/>
  <c r="AI39" i="12" s="1"/>
  <c r="AG39" i="12"/>
  <c r="AE39" i="12"/>
  <c r="AC39" i="12"/>
  <c r="Z39" i="12"/>
  <c r="AA39" i="12" s="1"/>
  <c r="Y39" i="12"/>
  <c r="W39" i="12"/>
  <c r="U39" i="12"/>
  <c r="R39" i="12"/>
  <c r="Q39" i="12"/>
  <c r="O39" i="12"/>
  <c r="M39" i="12"/>
  <c r="J39" i="12"/>
  <c r="E44" i="6" s="1"/>
  <c r="AP38" i="12"/>
  <c r="AQ38" i="12" s="1"/>
  <c r="AO38" i="12"/>
  <c r="AM38" i="12"/>
  <c r="AK38" i="12"/>
  <c r="AH38" i="12"/>
  <c r="AI38" i="12" s="1"/>
  <c r="AG38" i="12"/>
  <c r="AE38" i="12"/>
  <c r="AC38" i="12"/>
  <c r="Z38" i="12"/>
  <c r="AA38" i="12" s="1"/>
  <c r="Y38" i="12"/>
  <c r="W38" i="12"/>
  <c r="U38" i="12"/>
  <c r="R38" i="12"/>
  <c r="Q38" i="12"/>
  <c r="O38" i="12"/>
  <c r="M38" i="12"/>
  <c r="J38" i="12"/>
  <c r="E43" i="6" s="1"/>
  <c r="AP37" i="12"/>
  <c r="AQ37" i="12" s="1"/>
  <c r="AO37" i="12"/>
  <c r="AM37" i="12"/>
  <c r="AK37" i="12"/>
  <c r="AH37" i="12"/>
  <c r="AI37" i="12" s="1"/>
  <c r="AG37" i="12"/>
  <c r="AE37" i="12"/>
  <c r="AC37" i="12"/>
  <c r="Z37" i="12"/>
  <c r="AA37" i="12" s="1"/>
  <c r="Y37" i="12"/>
  <c r="W37" i="12"/>
  <c r="U37" i="12"/>
  <c r="R37" i="12"/>
  <c r="H37" i="12" s="1"/>
  <c r="K37" i="12" s="1"/>
  <c r="H42" i="6" s="1"/>
  <c r="Q37" i="12"/>
  <c r="O37" i="12"/>
  <c r="M37" i="12"/>
  <c r="J37" i="12"/>
  <c r="E42" i="6" s="1"/>
  <c r="AP36" i="12"/>
  <c r="AQ36" i="12" s="1"/>
  <c r="AO36" i="12"/>
  <c r="AM36" i="12"/>
  <c r="AM35" i="12" s="1"/>
  <c r="AK36" i="12"/>
  <c r="AH36" i="12"/>
  <c r="AI36" i="12" s="1"/>
  <c r="AG36" i="12"/>
  <c r="AE36" i="12"/>
  <c r="AC36" i="12"/>
  <c r="Z36" i="12"/>
  <c r="AA36" i="12" s="1"/>
  <c r="Y36" i="12"/>
  <c r="W36" i="12"/>
  <c r="W35" i="12" s="1"/>
  <c r="U36" i="12"/>
  <c r="R36" i="12"/>
  <c r="Q36" i="12"/>
  <c r="O36" i="12"/>
  <c r="O35" i="12" s="1"/>
  <c r="M36" i="12"/>
  <c r="J36" i="12"/>
  <c r="E41" i="6" s="1"/>
  <c r="AP34" i="12"/>
  <c r="AQ34" i="12" s="1"/>
  <c r="AO34" i="12"/>
  <c r="AM34" i="12"/>
  <c r="AK34" i="12"/>
  <c r="AH34" i="12"/>
  <c r="AI34" i="12" s="1"/>
  <c r="AG34" i="12"/>
  <c r="AE34" i="12"/>
  <c r="AC34" i="12"/>
  <c r="Z34" i="12"/>
  <c r="AA34" i="12" s="1"/>
  <c r="Y34" i="12"/>
  <c r="W34" i="12"/>
  <c r="U34" i="12"/>
  <c r="R34" i="12"/>
  <c r="Q34" i="12"/>
  <c r="O34" i="12"/>
  <c r="M34" i="12"/>
  <c r="J34" i="12"/>
  <c r="E39" i="6" s="1"/>
  <c r="AP33" i="12"/>
  <c r="AQ33" i="12" s="1"/>
  <c r="AO33" i="12"/>
  <c r="AM33" i="12"/>
  <c r="AK33" i="12"/>
  <c r="AH33" i="12"/>
  <c r="AI33" i="12" s="1"/>
  <c r="AG33" i="12"/>
  <c r="AE33" i="12"/>
  <c r="AC33" i="12"/>
  <c r="Z33" i="12"/>
  <c r="AA33" i="12" s="1"/>
  <c r="Y33" i="12"/>
  <c r="W33" i="12"/>
  <c r="U33" i="12"/>
  <c r="R33" i="12"/>
  <c r="H33" i="12" s="1"/>
  <c r="K33" i="12" s="1"/>
  <c r="H38" i="6" s="1"/>
  <c r="Q33" i="12"/>
  <c r="O33" i="12"/>
  <c r="M33" i="12"/>
  <c r="J33" i="12"/>
  <c r="E38" i="6" s="1"/>
  <c r="AP32" i="12"/>
  <c r="AQ32" i="12" s="1"/>
  <c r="AO32" i="12"/>
  <c r="AM32" i="12"/>
  <c r="AK32" i="12"/>
  <c r="AH32" i="12"/>
  <c r="AI32" i="12" s="1"/>
  <c r="AG32" i="12"/>
  <c r="AE32" i="12"/>
  <c r="AC32" i="12"/>
  <c r="Z32" i="12"/>
  <c r="AA32" i="12" s="1"/>
  <c r="Y32" i="12"/>
  <c r="W32" i="12"/>
  <c r="U32" i="12"/>
  <c r="R32" i="12"/>
  <c r="Q32" i="12"/>
  <c r="O32" i="12"/>
  <c r="M32" i="12"/>
  <c r="J32" i="12"/>
  <c r="E37" i="6" s="1"/>
  <c r="AP31" i="12"/>
  <c r="AQ31" i="12" s="1"/>
  <c r="AO31" i="12"/>
  <c r="AM31" i="12"/>
  <c r="AK31" i="12"/>
  <c r="AH31" i="12"/>
  <c r="AI31" i="12" s="1"/>
  <c r="AG31" i="12"/>
  <c r="AE31" i="12"/>
  <c r="AC31" i="12"/>
  <c r="Z31" i="12"/>
  <c r="AA31" i="12" s="1"/>
  <c r="Y31" i="12"/>
  <c r="W31" i="12"/>
  <c r="U31" i="12"/>
  <c r="R31" i="12"/>
  <c r="Q31" i="12"/>
  <c r="O31" i="12"/>
  <c r="M31" i="12"/>
  <c r="J31" i="12"/>
  <c r="E36" i="6" s="1"/>
  <c r="AP30" i="12"/>
  <c r="AQ30" i="12" s="1"/>
  <c r="AO30" i="12"/>
  <c r="AM30" i="12"/>
  <c r="AK30" i="12"/>
  <c r="AH30" i="12"/>
  <c r="AI30" i="12" s="1"/>
  <c r="AG30" i="12"/>
  <c r="AE30" i="12"/>
  <c r="AC30" i="12"/>
  <c r="Z30" i="12"/>
  <c r="AA30" i="12" s="1"/>
  <c r="Y30" i="12"/>
  <c r="W30" i="12"/>
  <c r="U30" i="12"/>
  <c r="R30" i="12"/>
  <c r="Q30" i="12"/>
  <c r="O30" i="12"/>
  <c r="M30" i="12"/>
  <c r="J30" i="12"/>
  <c r="E35" i="6" s="1"/>
  <c r="AP28" i="12"/>
  <c r="AQ28" i="12" s="1"/>
  <c r="AO28" i="12"/>
  <c r="AM28" i="12"/>
  <c r="AK28" i="12"/>
  <c r="AH28" i="12"/>
  <c r="AI28" i="12" s="1"/>
  <c r="AG28" i="12"/>
  <c r="AE28" i="12"/>
  <c r="AC28" i="12"/>
  <c r="Z28" i="12"/>
  <c r="AA28" i="12" s="1"/>
  <c r="Y28" i="12"/>
  <c r="W28" i="12"/>
  <c r="U28" i="12"/>
  <c r="R28" i="12"/>
  <c r="Q28" i="12"/>
  <c r="O28" i="12"/>
  <c r="M28" i="12"/>
  <c r="J28" i="12"/>
  <c r="E33" i="6" s="1"/>
  <c r="AP27" i="12"/>
  <c r="AQ27" i="12" s="1"/>
  <c r="AO27" i="12"/>
  <c r="AM27" i="12"/>
  <c r="AK27" i="12"/>
  <c r="AH27" i="12"/>
  <c r="AI27" i="12" s="1"/>
  <c r="AG27" i="12"/>
  <c r="AE27" i="12"/>
  <c r="AC27" i="12"/>
  <c r="Z27" i="12"/>
  <c r="AA27" i="12" s="1"/>
  <c r="Y27" i="12"/>
  <c r="W27" i="12"/>
  <c r="U27" i="12"/>
  <c r="R27" i="12"/>
  <c r="Q27" i="12"/>
  <c r="O27" i="12"/>
  <c r="M27" i="12"/>
  <c r="J27" i="12"/>
  <c r="E32" i="6" s="1"/>
  <c r="AP26" i="12"/>
  <c r="AQ26" i="12" s="1"/>
  <c r="AO26" i="12"/>
  <c r="AM26" i="12"/>
  <c r="AK26" i="12"/>
  <c r="AH26" i="12"/>
  <c r="AI26" i="12" s="1"/>
  <c r="AG26" i="12"/>
  <c r="AE26" i="12"/>
  <c r="AC26" i="12"/>
  <c r="Z26" i="12"/>
  <c r="AA26" i="12" s="1"/>
  <c r="Y26" i="12"/>
  <c r="W26" i="12"/>
  <c r="U26" i="12"/>
  <c r="R26" i="12"/>
  <c r="Q26" i="12"/>
  <c r="O26" i="12"/>
  <c r="M26" i="12"/>
  <c r="J26" i="12"/>
  <c r="E31" i="6" s="1"/>
  <c r="AP25" i="12"/>
  <c r="AQ25" i="12" s="1"/>
  <c r="AO25" i="12"/>
  <c r="AM25" i="12"/>
  <c r="AK25" i="12"/>
  <c r="AH25" i="12"/>
  <c r="AI25" i="12" s="1"/>
  <c r="AG25" i="12"/>
  <c r="AE25" i="12"/>
  <c r="AC25" i="12"/>
  <c r="Z25" i="12"/>
  <c r="AA25" i="12" s="1"/>
  <c r="Y25" i="12"/>
  <c r="W25" i="12"/>
  <c r="U25" i="12"/>
  <c r="R25" i="12"/>
  <c r="Q25" i="12"/>
  <c r="O25" i="12"/>
  <c r="M25" i="12"/>
  <c r="J25" i="12"/>
  <c r="E30" i="6" s="1"/>
  <c r="AP24" i="12"/>
  <c r="AQ24" i="12" s="1"/>
  <c r="AO24" i="12"/>
  <c r="AM24" i="12"/>
  <c r="AK24" i="12"/>
  <c r="AH24" i="12"/>
  <c r="AI24" i="12" s="1"/>
  <c r="AG24" i="12"/>
  <c r="AE24" i="12"/>
  <c r="AC24" i="12"/>
  <c r="Z24" i="12"/>
  <c r="Y24" i="12"/>
  <c r="W24" i="12"/>
  <c r="U24" i="12"/>
  <c r="R24" i="12"/>
  <c r="Q24" i="12"/>
  <c r="O24" i="12"/>
  <c r="M24" i="12"/>
  <c r="J24" i="12"/>
  <c r="E29" i="6" s="1"/>
  <c r="AP22" i="12"/>
  <c r="AQ22" i="12" s="1"/>
  <c r="AO22" i="12"/>
  <c r="AM22" i="12"/>
  <c r="AK22" i="12"/>
  <c r="AH22" i="12"/>
  <c r="AI22" i="12" s="1"/>
  <c r="AG22" i="12"/>
  <c r="AE22" i="12"/>
  <c r="AC22" i="12"/>
  <c r="Z22" i="12"/>
  <c r="AA22" i="12" s="1"/>
  <c r="Y22" i="12"/>
  <c r="W22" i="12"/>
  <c r="U22" i="12"/>
  <c r="R22" i="12"/>
  <c r="Q22" i="12"/>
  <c r="O22" i="12"/>
  <c r="M22" i="12"/>
  <c r="J22" i="12"/>
  <c r="E27" i="6" s="1"/>
  <c r="AP21" i="12"/>
  <c r="AQ21" i="12" s="1"/>
  <c r="AO21" i="12"/>
  <c r="AM21" i="12"/>
  <c r="AK21" i="12"/>
  <c r="AH21" i="12"/>
  <c r="AI21" i="12" s="1"/>
  <c r="AG21" i="12"/>
  <c r="AE21" i="12"/>
  <c r="AC21" i="12"/>
  <c r="Z21" i="12"/>
  <c r="AA21" i="12" s="1"/>
  <c r="Y21" i="12"/>
  <c r="W21" i="12"/>
  <c r="U21" i="12"/>
  <c r="R21" i="12"/>
  <c r="Q21" i="12"/>
  <c r="O21" i="12"/>
  <c r="M21" i="12"/>
  <c r="J21" i="12"/>
  <c r="E26" i="6" s="1"/>
  <c r="AP20" i="12"/>
  <c r="AQ20" i="12" s="1"/>
  <c r="AO20" i="12"/>
  <c r="AM20" i="12"/>
  <c r="AK20" i="12"/>
  <c r="AH20" i="12"/>
  <c r="AI20" i="12" s="1"/>
  <c r="AG20" i="12"/>
  <c r="AE20" i="12"/>
  <c r="AC20" i="12"/>
  <c r="Z20" i="12"/>
  <c r="AA20" i="12" s="1"/>
  <c r="Y20" i="12"/>
  <c r="W20" i="12"/>
  <c r="U20" i="12"/>
  <c r="R20" i="12"/>
  <c r="Q20" i="12"/>
  <c r="O20" i="12"/>
  <c r="M20" i="12"/>
  <c r="J20" i="12"/>
  <c r="E25" i="6" s="1"/>
  <c r="AP19" i="12"/>
  <c r="AQ19" i="12" s="1"/>
  <c r="AO19" i="12"/>
  <c r="AM19" i="12"/>
  <c r="AK19" i="12"/>
  <c r="AH19" i="12"/>
  <c r="AI19" i="12" s="1"/>
  <c r="AG19" i="12"/>
  <c r="AE19" i="12"/>
  <c r="AC19" i="12"/>
  <c r="Z19" i="12"/>
  <c r="AA19" i="12" s="1"/>
  <c r="Y19" i="12"/>
  <c r="W19" i="12"/>
  <c r="U19" i="12"/>
  <c r="R19" i="12"/>
  <c r="Q19" i="12"/>
  <c r="O19" i="12"/>
  <c r="M19" i="12"/>
  <c r="J19" i="12"/>
  <c r="E24" i="6" s="1"/>
  <c r="AP18" i="12"/>
  <c r="AQ18" i="12" s="1"/>
  <c r="AO18" i="12"/>
  <c r="AM18" i="12"/>
  <c r="AK18" i="12"/>
  <c r="AH18" i="12"/>
  <c r="AI18" i="12" s="1"/>
  <c r="AG18" i="12"/>
  <c r="AE18" i="12"/>
  <c r="AC18" i="12"/>
  <c r="Z18" i="12"/>
  <c r="AA18" i="12" s="1"/>
  <c r="Y18" i="12"/>
  <c r="W18" i="12"/>
  <c r="U18" i="12"/>
  <c r="R18" i="12"/>
  <c r="Q18" i="12"/>
  <c r="O18" i="12"/>
  <c r="M18" i="12"/>
  <c r="J18" i="12"/>
  <c r="E23" i="6" s="1"/>
  <c r="AN29" i="12"/>
  <c r="AL29" i="12"/>
  <c r="AJ29" i="12"/>
  <c r="AF29" i="12"/>
  <c r="AD29" i="12"/>
  <c r="AB29" i="12"/>
  <c r="X29" i="12"/>
  <c r="V29" i="12"/>
  <c r="T29" i="12"/>
  <c r="P29" i="12"/>
  <c r="N29" i="12"/>
  <c r="L29" i="12"/>
  <c r="AN23" i="12"/>
  <c r="AN17" i="12" s="1"/>
  <c r="AL23" i="12"/>
  <c r="AL17" i="12" s="1"/>
  <c r="AJ23" i="12"/>
  <c r="AF23" i="12"/>
  <c r="AF17" i="12" s="1"/>
  <c r="AD23" i="12"/>
  <c r="AB23" i="12"/>
  <c r="AB17" i="12" s="1"/>
  <c r="X23" i="12"/>
  <c r="V23" i="12"/>
  <c r="V17" i="12" s="1"/>
  <c r="T23" i="12"/>
  <c r="T17" i="12" s="1"/>
  <c r="P23" i="12"/>
  <c r="P17" i="12" s="1"/>
  <c r="N23" i="12"/>
  <c r="N17" i="12" s="1"/>
  <c r="L23" i="12"/>
  <c r="G23" i="12"/>
  <c r="AD17" i="12"/>
  <c r="AP16" i="12"/>
  <c r="AQ16" i="12" s="1"/>
  <c r="AO16" i="12"/>
  <c r="AM16" i="12"/>
  <c r="AK16" i="12"/>
  <c r="AH16" i="12"/>
  <c r="AI16" i="12" s="1"/>
  <c r="AG16" i="12"/>
  <c r="AE16" i="12"/>
  <c r="AC16" i="12"/>
  <c r="Z16" i="12"/>
  <c r="AA16" i="12" s="1"/>
  <c r="Y16" i="12"/>
  <c r="W16" i="12"/>
  <c r="U16" i="12"/>
  <c r="R16" i="12"/>
  <c r="Q16" i="12"/>
  <c r="O16" i="12"/>
  <c r="M16" i="12"/>
  <c r="J16" i="12"/>
  <c r="E21" i="6" s="1"/>
  <c r="AP15" i="12"/>
  <c r="AQ15" i="12" s="1"/>
  <c r="AO15" i="12"/>
  <c r="AM15" i="12"/>
  <c r="AK15" i="12"/>
  <c r="AH15" i="12"/>
  <c r="AI15" i="12" s="1"/>
  <c r="AG15" i="12"/>
  <c r="AE15" i="12"/>
  <c r="AC15" i="12"/>
  <c r="Z15" i="12"/>
  <c r="AA15" i="12" s="1"/>
  <c r="Y15" i="12"/>
  <c r="W15" i="12"/>
  <c r="U15" i="12"/>
  <c r="R15" i="12"/>
  <c r="Q15" i="12"/>
  <c r="O15" i="12"/>
  <c r="M15" i="12"/>
  <c r="J15" i="12"/>
  <c r="E20" i="6" s="1"/>
  <c r="AP14" i="12"/>
  <c r="AQ14" i="12" s="1"/>
  <c r="AO14" i="12"/>
  <c r="AM14" i="12"/>
  <c r="AK14" i="12"/>
  <c r="AH14" i="12"/>
  <c r="AI14" i="12" s="1"/>
  <c r="AG14" i="12"/>
  <c r="AE14" i="12"/>
  <c r="AC14" i="12"/>
  <c r="Z14" i="12"/>
  <c r="AA14" i="12" s="1"/>
  <c r="Y14" i="12"/>
  <c r="W14" i="12"/>
  <c r="U14" i="12"/>
  <c r="R14" i="12"/>
  <c r="Q14" i="12"/>
  <c r="O14" i="12"/>
  <c r="M14" i="12"/>
  <c r="J14" i="12"/>
  <c r="E19" i="6" s="1"/>
  <c r="AP13" i="12"/>
  <c r="AQ13" i="12" s="1"/>
  <c r="AO13" i="12"/>
  <c r="AM13" i="12"/>
  <c r="AK13" i="12"/>
  <c r="AH13" i="12"/>
  <c r="AI13" i="12" s="1"/>
  <c r="AG13" i="12"/>
  <c r="AE13" i="12"/>
  <c r="AC13" i="12"/>
  <c r="Z13" i="12"/>
  <c r="AA13" i="12" s="1"/>
  <c r="Y13" i="12"/>
  <c r="W13" i="12"/>
  <c r="U13" i="12"/>
  <c r="R13" i="12"/>
  <c r="Q13" i="12"/>
  <c r="O13" i="12"/>
  <c r="M13" i="12"/>
  <c r="J13" i="12"/>
  <c r="E18" i="6" s="1"/>
  <c r="AP12" i="12"/>
  <c r="AQ12" i="12" s="1"/>
  <c r="AO12" i="12"/>
  <c r="AM12" i="12"/>
  <c r="AK12" i="12"/>
  <c r="AH12" i="12"/>
  <c r="AG12" i="12"/>
  <c r="AE12" i="12"/>
  <c r="AC12" i="12"/>
  <c r="Z12" i="12"/>
  <c r="Y12" i="12"/>
  <c r="W12" i="12"/>
  <c r="U12" i="12"/>
  <c r="R12" i="12"/>
  <c r="R11" i="12" s="1"/>
  <c r="Q12" i="12"/>
  <c r="O12" i="12"/>
  <c r="M12" i="12"/>
  <c r="J12" i="12"/>
  <c r="E17" i="6" s="1"/>
  <c r="AN11" i="12"/>
  <c r="AL11" i="12"/>
  <c r="AJ11" i="12"/>
  <c r="AF11" i="12"/>
  <c r="AD11" i="12"/>
  <c r="AB11" i="12"/>
  <c r="X11" i="12"/>
  <c r="V11" i="12"/>
  <c r="T11" i="12"/>
  <c r="P11" i="12"/>
  <c r="N11" i="12"/>
  <c r="L11" i="12"/>
  <c r="G11" i="12"/>
  <c r="M35" i="12" l="1"/>
  <c r="Q35" i="12"/>
  <c r="Y35" i="12"/>
  <c r="AG35" i="12"/>
  <c r="U35" i="12"/>
  <c r="M38" i="6"/>
  <c r="N38" i="6" s="1"/>
  <c r="J38" i="6" s="1"/>
  <c r="AE35" i="12"/>
  <c r="R35" i="12"/>
  <c r="AC35" i="12"/>
  <c r="AK35" i="12"/>
  <c r="S40" i="12"/>
  <c r="E85" i="6"/>
  <c r="E84" i="6"/>
  <c r="E83" i="6"/>
  <c r="E81" i="6"/>
  <c r="E82" i="6"/>
  <c r="E40" i="6"/>
  <c r="B22" i="13" s="1"/>
  <c r="L22" i="6"/>
  <c r="E75" i="6" s="1"/>
  <c r="L28" i="6"/>
  <c r="E76" i="6" s="1"/>
  <c r="E22" i="6"/>
  <c r="B19" i="13" s="1"/>
  <c r="E28" i="6"/>
  <c r="B20" i="13" s="1"/>
  <c r="L34" i="6"/>
  <c r="E77" i="6" s="1"/>
  <c r="L40" i="6"/>
  <c r="E78" i="6" s="1"/>
  <c r="J42" i="6"/>
  <c r="E34" i="6"/>
  <c r="B21" i="13" s="1"/>
  <c r="AQ35" i="12"/>
  <c r="AP35" i="12"/>
  <c r="H21" i="12"/>
  <c r="AI35" i="12"/>
  <c r="AH35" i="12"/>
  <c r="AA35" i="12"/>
  <c r="H32" i="12"/>
  <c r="H25" i="12"/>
  <c r="H16" i="12"/>
  <c r="H12" i="12"/>
  <c r="Z35" i="12"/>
  <c r="H39" i="12"/>
  <c r="H31" i="12"/>
  <c r="H27" i="12"/>
  <c r="H19" i="12"/>
  <c r="J35" i="12"/>
  <c r="S36" i="12"/>
  <c r="S38" i="12"/>
  <c r="S18" i="12"/>
  <c r="S28" i="12"/>
  <c r="S32" i="12"/>
  <c r="H24" i="12"/>
  <c r="M29" i="6" s="1"/>
  <c r="N29" i="6" s="1"/>
  <c r="S26" i="12"/>
  <c r="S30" i="12"/>
  <c r="S37" i="12"/>
  <c r="S39" i="12"/>
  <c r="S20" i="12"/>
  <c r="S24" i="12"/>
  <c r="S34" i="12"/>
  <c r="H38" i="12"/>
  <c r="H36" i="12"/>
  <c r="M41" i="6" s="1"/>
  <c r="N41" i="6" s="1"/>
  <c r="H40" i="12"/>
  <c r="S25" i="12"/>
  <c r="S27" i="12"/>
  <c r="AO29" i="12"/>
  <c r="S22" i="12"/>
  <c r="H26" i="12"/>
  <c r="S31" i="12"/>
  <c r="S33" i="12"/>
  <c r="H30" i="12"/>
  <c r="M35" i="6" s="1"/>
  <c r="N35" i="6" s="1"/>
  <c r="H34" i="12"/>
  <c r="AA24" i="12"/>
  <c r="H28" i="12"/>
  <c r="P41" i="12"/>
  <c r="W11" i="12"/>
  <c r="AN41" i="12"/>
  <c r="AB41" i="12"/>
  <c r="O11" i="12"/>
  <c r="O23" i="12"/>
  <c r="W23" i="12"/>
  <c r="AK23" i="12"/>
  <c r="AK17" i="12" s="1"/>
  <c r="AL41" i="12"/>
  <c r="S19" i="12"/>
  <c r="S21" i="12"/>
  <c r="H13" i="12"/>
  <c r="AE11" i="12"/>
  <c r="AK11" i="12"/>
  <c r="AJ17" i="12"/>
  <c r="AJ41" i="12" s="1"/>
  <c r="AF41" i="12"/>
  <c r="M23" i="12"/>
  <c r="M17" i="12" s="1"/>
  <c r="U23" i="12"/>
  <c r="U17" i="12" s="1"/>
  <c r="J29" i="12"/>
  <c r="V41" i="12"/>
  <c r="H20" i="12"/>
  <c r="Z11" i="12"/>
  <c r="H15" i="12"/>
  <c r="AC23" i="12"/>
  <c r="AH29" i="12"/>
  <c r="H18" i="12"/>
  <c r="M23" i="6" s="1"/>
  <c r="H22" i="12"/>
  <c r="H14" i="12"/>
  <c r="S15" i="12"/>
  <c r="R29" i="12"/>
  <c r="AH23" i="12"/>
  <c r="AH17" i="12" s="1"/>
  <c r="Q23" i="12"/>
  <c r="Q17" i="12" s="1"/>
  <c r="Y23" i="12"/>
  <c r="Y17" i="12" s="1"/>
  <c r="AG23" i="12"/>
  <c r="AG17" i="12" s="1"/>
  <c r="M29" i="12"/>
  <c r="AQ29" i="12"/>
  <c r="Y29" i="12"/>
  <c r="AG29" i="12"/>
  <c r="U29" i="12"/>
  <c r="AC29" i="12"/>
  <c r="AK29" i="12"/>
  <c r="AQ11" i="12"/>
  <c r="W29" i="12"/>
  <c r="O29" i="12"/>
  <c r="Q29" i="12"/>
  <c r="AE29" i="12"/>
  <c r="AE23" i="12"/>
  <c r="AE17" i="12" s="1"/>
  <c r="AM23" i="12"/>
  <c r="AM17" i="12" s="1"/>
  <c r="AO23" i="12"/>
  <c r="AO17" i="12" s="1"/>
  <c r="O17" i="12"/>
  <c r="W17" i="12"/>
  <c r="Q11" i="12"/>
  <c r="S16" i="12"/>
  <c r="AG11" i="12"/>
  <c r="AO11" i="12"/>
  <c r="M11" i="12"/>
  <c r="J11" i="12"/>
  <c r="AM11" i="12"/>
  <c r="Y11" i="12"/>
  <c r="AC17" i="12"/>
  <c r="J23" i="12"/>
  <c r="J17" i="12" s="1"/>
  <c r="R23" i="12"/>
  <c r="R17" i="12" s="1"/>
  <c r="R41" i="12" s="1"/>
  <c r="S12" i="12"/>
  <c r="S14" i="12"/>
  <c r="L17" i="12"/>
  <c r="L41" i="12" s="1"/>
  <c r="X17" i="12"/>
  <c r="X41" i="12" s="1"/>
  <c r="AA23" i="12"/>
  <c r="AA17" i="12" s="1"/>
  <c r="Z23" i="12"/>
  <c r="Z17" i="12" s="1"/>
  <c r="Z29" i="12"/>
  <c r="AP29" i="12"/>
  <c r="AA29" i="12"/>
  <c r="AI29" i="12"/>
  <c r="T41" i="12"/>
  <c r="S13" i="12"/>
  <c r="U11" i="12"/>
  <c r="AA12" i="12"/>
  <c r="AA11" i="12" s="1"/>
  <c r="AH11" i="12"/>
  <c r="AI12" i="12"/>
  <c r="AI11" i="12" s="1"/>
  <c r="AC11" i="12"/>
  <c r="AI23" i="12"/>
  <c r="AQ23" i="12"/>
  <c r="AP23" i="12"/>
  <c r="AP17" i="12" s="1"/>
  <c r="AM29" i="12"/>
  <c r="N41" i="12"/>
  <c r="AD41" i="12"/>
  <c r="AP11" i="12"/>
  <c r="K20" i="12" l="1"/>
  <c r="H25" i="6" s="1"/>
  <c r="M25" i="6"/>
  <c r="N25" i="6" s="1"/>
  <c r="J25" i="6" s="1"/>
  <c r="K40" i="12"/>
  <c r="H45" i="6" s="1"/>
  <c r="M45" i="6"/>
  <c r="N45" i="6" s="1"/>
  <c r="J45" i="6" s="1"/>
  <c r="K39" i="12"/>
  <c r="H44" i="6" s="1"/>
  <c r="M44" i="6"/>
  <c r="N44" i="6" s="1"/>
  <c r="J44" i="6" s="1"/>
  <c r="K25" i="12"/>
  <c r="H30" i="6" s="1"/>
  <c r="M30" i="6"/>
  <c r="N30" i="6" s="1"/>
  <c r="J30" i="6" s="1"/>
  <c r="J35" i="6"/>
  <c r="K14" i="12"/>
  <c r="H19" i="6" s="1"/>
  <c r="M19" i="6"/>
  <c r="N19" i="6" s="1"/>
  <c r="J19" i="6" s="1"/>
  <c r="J83" i="6" s="1"/>
  <c r="K13" i="12"/>
  <c r="H18" i="6" s="1"/>
  <c r="M18" i="6"/>
  <c r="N18" i="6" s="1"/>
  <c r="J18" i="6" s="1"/>
  <c r="K28" i="12"/>
  <c r="H33" i="6" s="1"/>
  <c r="M33" i="6"/>
  <c r="N33" i="6" s="1"/>
  <c r="J33" i="6" s="1"/>
  <c r="K19" i="12"/>
  <c r="H24" i="6" s="1"/>
  <c r="M24" i="6"/>
  <c r="N24" i="6" s="1"/>
  <c r="J24" i="6" s="1"/>
  <c r="K32" i="12"/>
  <c r="H37" i="6" s="1"/>
  <c r="M37" i="6"/>
  <c r="N37" i="6" s="1"/>
  <c r="J37" i="6" s="1"/>
  <c r="K21" i="12"/>
  <c r="H26" i="6" s="1"/>
  <c r="M26" i="6"/>
  <c r="N26" i="6" s="1"/>
  <c r="J26" i="6" s="1"/>
  <c r="J29" i="6"/>
  <c r="N23" i="6"/>
  <c r="J23" i="6" s="1"/>
  <c r="K22" i="12"/>
  <c r="H27" i="6" s="1"/>
  <c r="M27" i="6"/>
  <c r="N27" i="6" s="1"/>
  <c r="J27" i="6" s="1"/>
  <c r="K15" i="12"/>
  <c r="H20" i="6" s="1"/>
  <c r="M20" i="6"/>
  <c r="N20" i="6" s="1"/>
  <c r="J20" i="6" s="1"/>
  <c r="K38" i="12"/>
  <c r="H43" i="6" s="1"/>
  <c r="M43" i="6"/>
  <c r="N43" i="6" s="1"/>
  <c r="J43" i="6" s="1"/>
  <c r="K27" i="12"/>
  <c r="H32" i="6" s="1"/>
  <c r="M32" i="6"/>
  <c r="N32" i="6" s="1"/>
  <c r="J32" i="6" s="1"/>
  <c r="K12" i="12"/>
  <c r="H17" i="6" s="1"/>
  <c r="M17" i="6"/>
  <c r="N17" i="6" s="1"/>
  <c r="J41" i="6"/>
  <c r="K34" i="12"/>
  <c r="H39" i="6" s="1"/>
  <c r="M39" i="6"/>
  <c r="N39" i="6" s="1"/>
  <c r="J39" i="6" s="1"/>
  <c r="K26" i="12"/>
  <c r="H31" i="6" s="1"/>
  <c r="M31" i="6"/>
  <c r="N31" i="6" s="1"/>
  <c r="J31" i="6" s="1"/>
  <c r="K31" i="12"/>
  <c r="H36" i="6" s="1"/>
  <c r="M36" i="6"/>
  <c r="N36" i="6" s="1"/>
  <c r="J36" i="6" s="1"/>
  <c r="K16" i="12"/>
  <c r="H21" i="6" s="1"/>
  <c r="M21" i="6"/>
  <c r="N21" i="6" s="1"/>
  <c r="J21" i="6" s="1"/>
  <c r="M40" i="6"/>
  <c r="H78" i="6" s="1"/>
  <c r="E80" i="6"/>
  <c r="B52" i="13" s="1"/>
  <c r="E73" i="6"/>
  <c r="S35" i="12"/>
  <c r="K36" i="12"/>
  <c r="H35" i="12"/>
  <c r="H29" i="12" s="1"/>
  <c r="K30" i="12"/>
  <c r="K24" i="12"/>
  <c r="H29" i="6" s="1"/>
  <c r="H28" i="6" s="1"/>
  <c r="C20" i="13" s="1"/>
  <c r="H23" i="12"/>
  <c r="K18" i="12"/>
  <c r="H23" i="6" s="1"/>
  <c r="H22" i="6" s="1"/>
  <c r="C19" i="13" s="1"/>
  <c r="H17" i="12"/>
  <c r="H11" i="12"/>
  <c r="K11" i="12"/>
  <c r="O41" i="12"/>
  <c r="J41" i="12"/>
  <c r="S29" i="12"/>
  <c r="AK41" i="12"/>
  <c r="AP41" i="12"/>
  <c r="W41" i="12"/>
  <c r="AE41" i="12"/>
  <c r="Y41" i="12"/>
  <c r="AO41" i="12"/>
  <c r="M41" i="12"/>
  <c r="Q41" i="12"/>
  <c r="AG41" i="12"/>
  <c r="AM41" i="12"/>
  <c r="U41" i="12"/>
  <c r="AC41" i="12"/>
  <c r="Z41" i="12"/>
  <c r="AA41" i="12"/>
  <c r="S23" i="12"/>
  <c r="S17" i="12" s="1"/>
  <c r="AQ17" i="12"/>
  <c r="AQ41" i="12" s="1"/>
  <c r="AH41" i="12"/>
  <c r="S11" i="12"/>
  <c r="AI17" i="12"/>
  <c r="AI41" i="12" s="1"/>
  <c r="F21" i="11"/>
  <c r="F29" i="11" s="1"/>
  <c r="F14" i="11"/>
  <c r="E14" i="11"/>
  <c r="D14" i="11"/>
  <c r="H70" i="6" s="1"/>
  <c r="C14" i="11"/>
  <c r="E70" i="6" s="1"/>
  <c r="B49" i="13" s="1"/>
  <c r="K23" i="12" l="1"/>
  <c r="K17" i="12" s="1"/>
  <c r="J84" i="6"/>
  <c r="C26" i="13"/>
  <c r="J28" i="6"/>
  <c r="D20" i="13" s="1"/>
  <c r="J40" i="6"/>
  <c r="D22" i="13" s="1"/>
  <c r="J22" i="6"/>
  <c r="D19" i="13" s="1"/>
  <c r="C27" i="13"/>
  <c r="J34" i="6"/>
  <c r="D21" i="13" s="1"/>
  <c r="C25" i="11"/>
  <c r="B50" i="13"/>
  <c r="J85" i="6"/>
  <c r="C49" i="13"/>
  <c r="N34" i="6"/>
  <c r="J77" i="6" s="1"/>
  <c r="K29" i="12"/>
  <c r="H35" i="6"/>
  <c r="H34" i="6" s="1"/>
  <c r="C21" i="13" s="1"/>
  <c r="H85" i="6"/>
  <c r="H84" i="6"/>
  <c r="H83" i="6"/>
  <c r="N40" i="6"/>
  <c r="J78" i="6" s="1"/>
  <c r="M28" i="6"/>
  <c r="H76" i="6" s="1"/>
  <c r="N22" i="6"/>
  <c r="J75" i="6" s="1"/>
  <c r="M22" i="6"/>
  <c r="H75" i="6" s="1"/>
  <c r="K35" i="12"/>
  <c r="K41" i="12" s="1"/>
  <c r="H41" i="6"/>
  <c r="H40" i="6" s="1"/>
  <c r="C22" i="13" s="1"/>
  <c r="H82" i="6"/>
  <c r="M34" i="6"/>
  <c r="H77" i="6" s="1"/>
  <c r="N28" i="6"/>
  <c r="J76" i="6" s="1"/>
  <c r="J70" i="6"/>
  <c r="AO42" i="12"/>
  <c r="Q42" i="12"/>
  <c r="Y42" i="12"/>
  <c r="AG42" i="12"/>
  <c r="S41" i="12"/>
  <c r="L16" i="6"/>
  <c r="E74" i="6" s="1"/>
  <c r="D28" i="13" l="1"/>
  <c r="D29" i="13"/>
  <c r="H81" i="6"/>
  <c r="H80" i="6" s="1"/>
  <c r="C52" i="13" s="1"/>
  <c r="D27" i="13"/>
  <c r="C29" i="13"/>
  <c r="C28" i="13"/>
  <c r="D26" i="13"/>
  <c r="D49" i="13"/>
  <c r="M16" i="6"/>
  <c r="H74" i="6" s="1"/>
  <c r="N16" i="6"/>
  <c r="J74" i="6" s="1"/>
  <c r="J73" i="6" s="1"/>
  <c r="J58" i="6"/>
  <c r="H58" i="6"/>
  <c r="E58" i="6"/>
  <c r="J17" i="6"/>
  <c r="E48" i="3"/>
  <c r="D50" i="13" l="1"/>
  <c r="J82" i="6"/>
  <c r="J81" i="6"/>
  <c r="J16" i="6"/>
  <c r="H73" i="6"/>
  <c r="E16" i="6"/>
  <c r="E15" i="6" l="1"/>
  <c r="B18" i="13"/>
  <c r="C50" i="13"/>
  <c r="J15" i="6"/>
  <c r="J14" i="6" s="1"/>
  <c r="J68" i="6" s="1"/>
  <c r="D18" i="13"/>
  <c r="J80" i="6"/>
  <c r="E86" i="6"/>
  <c r="E94" i="6"/>
  <c r="E90" i="6" s="1"/>
  <c r="F70" i="6"/>
  <c r="B62" i="13" s="1"/>
  <c r="F73" i="6"/>
  <c r="B63" i="13" s="1"/>
  <c r="K52" i="6"/>
  <c r="D58" i="13" s="1"/>
  <c r="K22" i="6"/>
  <c r="E79" i="6"/>
  <c r="F40" i="6"/>
  <c r="F34" i="6"/>
  <c r="F28" i="6"/>
  <c r="E14" i="6"/>
  <c r="E68" i="6" s="1"/>
  <c r="F22" i="6"/>
  <c r="H16" i="6"/>
  <c r="C18" i="13" s="1"/>
  <c r="K28" i="6" l="1"/>
  <c r="K16" i="6"/>
  <c r="J94" i="6"/>
  <c r="J90" i="6" s="1"/>
  <c r="K34" i="6"/>
  <c r="K40" i="6"/>
  <c r="J86" i="6"/>
  <c r="J79" i="6"/>
  <c r="F68" i="6"/>
  <c r="B61" i="13" s="1"/>
  <c r="B48" i="13"/>
  <c r="B51" i="13"/>
  <c r="E72" i="6"/>
  <c r="D51" i="13"/>
  <c r="D53" i="13"/>
  <c r="D48" i="13"/>
  <c r="K68" i="6"/>
  <c r="D61" i="13" s="1"/>
  <c r="K79" i="6"/>
  <c r="J72" i="6"/>
  <c r="C26" i="11"/>
  <c r="B53" i="13"/>
  <c r="D25" i="13"/>
  <c r="C25" i="13"/>
  <c r="K80" i="6"/>
  <c r="D65" i="13" s="1"/>
  <c r="D52" i="13"/>
  <c r="D73" i="13"/>
  <c r="J64" i="6"/>
  <c r="D47" i="13" s="1"/>
  <c r="D14" i="13"/>
  <c r="F80" i="6"/>
  <c r="B65" i="13" s="1"/>
  <c r="E64" i="6"/>
  <c r="B47" i="13" s="1"/>
  <c r="B14" i="13"/>
  <c r="E57" i="6"/>
  <c r="E52" i="6"/>
  <c r="E51" i="6"/>
  <c r="E50" i="6" s="1"/>
  <c r="H15" i="6"/>
  <c r="K86" i="6"/>
  <c r="K73" i="6"/>
  <c r="D63" i="13" s="1"/>
  <c r="F79" i="6"/>
  <c r="B64" i="13" s="1"/>
  <c r="F72" i="6"/>
  <c r="F16" i="6"/>
  <c r="F14" i="6" s="1"/>
  <c r="D66" i="13" l="1"/>
  <c r="D64" i="13"/>
  <c r="C73" i="13"/>
  <c r="H64" i="6"/>
  <c r="C47" i="13" s="1"/>
  <c r="C14" i="13"/>
  <c r="D15" i="13" s="1"/>
  <c r="H57" i="6"/>
  <c r="B46" i="13"/>
  <c r="C22" i="11"/>
  <c r="D36" i="13"/>
  <c r="D35" i="13"/>
  <c r="D34" i="13"/>
  <c r="D33" i="13"/>
  <c r="D32" i="13"/>
  <c r="B45" i="13"/>
  <c r="C23" i="11"/>
  <c r="C24" i="11"/>
  <c r="B35" i="13"/>
  <c r="B73" i="13"/>
  <c r="B34" i="13"/>
  <c r="B36" i="13"/>
  <c r="B33" i="13"/>
  <c r="B32" i="13"/>
  <c r="F50" i="6"/>
  <c r="B74" i="13"/>
  <c r="I16" i="6"/>
  <c r="H94" i="6"/>
  <c r="H90" i="6" s="1"/>
  <c r="I80" i="6"/>
  <c r="C65" i="13" s="1"/>
  <c r="K72" i="6"/>
  <c r="H14" i="6"/>
  <c r="H68" i="6" s="1"/>
  <c r="H79" i="6"/>
  <c r="I57" i="6"/>
  <c r="C59" i="13" s="1"/>
  <c r="H86" i="6"/>
  <c r="I52" i="6"/>
  <c r="C58" i="13" s="1"/>
  <c r="I22" i="6"/>
  <c r="I34" i="6"/>
  <c r="I28" i="6"/>
  <c r="I40" i="6"/>
  <c r="I73" i="6"/>
  <c r="C63" i="13" s="1"/>
  <c r="F86" i="6"/>
  <c r="B66" i="13" s="1"/>
  <c r="B67" i="13" s="1"/>
  <c r="B54" i="13" l="1"/>
  <c r="C51" i="13"/>
  <c r="H72" i="6"/>
  <c r="I68" i="6"/>
  <c r="C61" i="13" s="1"/>
  <c r="C48" i="13"/>
  <c r="C46" i="13"/>
  <c r="J57" i="6"/>
  <c r="H51" i="6"/>
  <c r="I86" i="6"/>
  <c r="C66" i="13" s="1"/>
  <c r="C53" i="13"/>
  <c r="B75" i="13"/>
  <c r="C15" i="13"/>
  <c r="C33" i="13"/>
  <c r="C34" i="13"/>
  <c r="C35" i="13"/>
  <c r="C36" i="13"/>
  <c r="C32" i="13"/>
  <c r="I79" i="6"/>
  <c r="C64" i="13" s="1"/>
  <c r="J23" i="3"/>
  <c r="N19" i="3"/>
  <c r="J19" i="3" s="1"/>
  <c r="H23" i="3"/>
  <c r="L20" i="3"/>
  <c r="L16" i="3"/>
  <c r="E22" i="3"/>
  <c r="E21" i="3"/>
  <c r="E19" i="3"/>
  <c r="E18" i="3"/>
  <c r="E53" i="3" s="1"/>
  <c r="E17" i="3"/>
  <c r="M17" i="3"/>
  <c r="H17" i="3" s="1"/>
  <c r="N21" i="3"/>
  <c r="J21" i="3" s="1"/>
  <c r="M19" i="3"/>
  <c r="H19" i="3" s="1"/>
  <c r="N18" i="3"/>
  <c r="J18" i="3" s="1"/>
  <c r="M18" i="3"/>
  <c r="H18" i="3" s="1"/>
  <c r="D8" i="4"/>
  <c r="F15" i="4"/>
  <c r="E8" i="4"/>
  <c r="F8" i="4"/>
  <c r="C8" i="4"/>
  <c r="C20" i="4"/>
  <c r="H50" i="6" l="1"/>
  <c r="C74" i="13" s="1"/>
  <c r="C75" i="13" s="1"/>
  <c r="D46" i="13"/>
  <c r="D54" i="13" s="1"/>
  <c r="J51" i="6"/>
  <c r="K57" i="6"/>
  <c r="D59" i="13" s="1"/>
  <c r="C54" i="13"/>
  <c r="I72" i="6"/>
  <c r="F51" i="6"/>
  <c r="I70" i="6"/>
  <c r="C62" i="13" s="1"/>
  <c r="C67" i="13" s="1"/>
  <c r="E96" i="6"/>
  <c r="E44" i="3"/>
  <c r="E64" i="3" s="1"/>
  <c r="F23" i="4"/>
  <c r="J50" i="3"/>
  <c r="J31" i="3"/>
  <c r="J26" i="3"/>
  <c r="F18" i="2"/>
  <c r="E18" i="2"/>
  <c r="D18" i="2"/>
  <c r="C18" i="2"/>
  <c r="B24" i="2"/>
  <c r="B29" i="2"/>
  <c r="B19" i="2"/>
  <c r="D27" i="2"/>
  <c r="D29" i="2" s="1"/>
  <c r="C27" i="2"/>
  <c r="C29" i="2" s="1"/>
  <c r="N22" i="3"/>
  <c r="J22" i="3" s="1"/>
  <c r="N17" i="3"/>
  <c r="J17" i="3" s="1"/>
  <c r="J54" i="3" s="1"/>
  <c r="J59" i="3"/>
  <c r="H59" i="3"/>
  <c r="E59" i="3"/>
  <c r="H50" i="3"/>
  <c r="B50" i="3"/>
  <c r="E49" i="3"/>
  <c r="J32" i="3"/>
  <c r="H32" i="3"/>
  <c r="E32" i="3"/>
  <c r="H31" i="3"/>
  <c r="E31" i="3"/>
  <c r="H26" i="3"/>
  <c r="E26" i="3"/>
  <c r="M22" i="3"/>
  <c r="H22" i="3" s="1"/>
  <c r="M21" i="3"/>
  <c r="E20" i="3"/>
  <c r="H54" i="3"/>
  <c r="E54" i="3"/>
  <c r="I50" i="6" l="1"/>
  <c r="H44" i="3"/>
  <c r="G70" i="6"/>
  <c r="G52" i="6"/>
  <c r="G64" i="6"/>
  <c r="G57" i="6"/>
  <c r="E89" i="6"/>
  <c r="C38" i="11" s="1"/>
  <c r="C39" i="11" s="1"/>
  <c r="G68" i="6"/>
  <c r="G16" i="6"/>
  <c r="G73" i="6"/>
  <c r="G72" i="6"/>
  <c r="G79" i="6"/>
  <c r="G86" i="6"/>
  <c r="G28" i="6"/>
  <c r="G22" i="6"/>
  <c r="G40" i="6"/>
  <c r="G34" i="6"/>
  <c r="G51" i="6"/>
  <c r="H21" i="3"/>
  <c r="H53" i="3" s="1"/>
  <c r="M20" i="3"/>
  <c r="C16" i="4"/>
  <c r="D16" i="4"/>
  <c r="C17" i="4"/>
  <c r="E17" i="4"/>
  <c r="D17" i="4"/>
  <c r="E16" i="4"/>
  <c r="K70" i="6"/>
  <c r="D62" i="13" s="1"/>
  <c r="D67" i="13" s="1"/>
  <c r="H96" i="6"/>
  <c r="H64" i="3"/>
  <c r="J44" i="3"/>
  <c r="J64" i="3" s="1"/>
  <c r="H52" i="3"/>
  <c r="N20" i="3"/>
  <c r="J53" i="3"/>
  <c r="M16" i="3"/>
  <c r="H20" i="3"/>
  <c r="N16" i="3"/>
  <c r="H49" i="3"/>
  <c r="E27" i="2"/>
  <c r="E29" i="2" s="1"/>
  <c r="J16" i="3"/>
  <c r="E52" i="3"/>
  <c r="E47" i="3"/>
  <c r="E38" i="3"/>
  <c r="J20" i="3"/>
  <c r="E16" i="3"/>
  <c r="H16" i="3"/>
  <c r="G15" i="6" l="1"/>
  <c r="G14" i="6" s="1"/>
  <c r="C19" i="4"/>
  <c r="C17" i="2"/>
  <c r="C19" i="2" s="1"/>
  <c r="E95" i="6"/>
  <c r="E98" i="6" s="1"/>
  <c r="J96" i="6"/>
  <c r="J48" i="3"/>
  <c r="C18" i="4"/>
  <c r="H48" i="3"/>
  <c r="H47" i="3" s="1"/>
  <c r="D22" i="2"/>
  <c r="J49" i="3"/>
  <c r="E46" i="3"/>
  <c r="C22" i="2"/>
  <c r="C24" i="2" s="1"/>
  <c r="C34" i="2" s="1"/>
  <c r="C30" i="2" s="1"/>
  <c r="D17" i="2"/>
  <c r="F27" i="2"/>
  <c r="F29" i="2" s="1"/>
  <c r="J52" i="3"/>
  <c r="H15" i="3"/>
  <c r="H38" i="3" s="1"/>
  <c r="J15" i="3"/>
  <c r="E15" i="3"/>
  <c r="C37" i="11" l="1"/>
  <c r="J47" i="3"/>
  <c r="E19" i="4"/>
  <c r="D19" i="4"/>
  <c r="D18" i="4"/>
  <c r="H14" i="3"/>
  <c r="I47" i="3" s="1"/>
  <c r="D24" i="2"/>
  <c r="E22" i="2"/>
  <c r="F22" i="2" s="1"/>
  <c r="C25" i="2"/>
  <c r="J14" i="3"/>
  <c r="K47" i="3" s="1"/>
  <c r="J38" i="3"/>
  <c r="E17" i="2"/>
  <c r="D19" i="2"/>
  <c r="C20" i="2"/>
  <c r="E14" i="3"/>
  <c r="E42" i="3"/>
  <c r="C21" i="11" s="1"/>
  <c r="C29" i="11" s="1"/>
  <c r="F20" i="3"/>
  <c r="F16" i="3"/>
  <c r="F46" i="3"/>
  <c r="B34" i="2"/>
  <c r="C44" i="2"/>
  <c r="C57" i="2"/>
  <c r="C59" i="2" s="1"/>
  <c r="C56" i="2"/>
  <c r="C52" i="2"/>
  <c r="C48" i="2"/>
  <c r="B57" i="2"/>
  <c r="B59" i="2" s="1"/>
  <c r="B48" i="2"/>
  <c r="B52" i="2"/>
  <c r="B56" i="2"/>
  <c r="F57" i="2"/>
  <c r="F59" i="2" s="1"/>
  <c r="E57" i="2"/>
  <c r="E59" i="2" s="1"/>
  <c r="D57" i="2"/>
  <c r="D59" i="2" s="1"/>
  <c r="E63" i="2"/>
  <c r="C15" i="2"/>
  <c r="B15" i="2"/>
  <c r="C65" i="2"/>
  <c r="B65" i="2"/>
  <c r="C40" i="2"/>
  <c r="B40" i="2"/>
  <c r="A37" i="2"/>
  <c r="D11" i="2"/>
  <c r="D65" i="2" s="1"/>
  <c r="C33" i="11" l="1"/>
  <c r="D12" i="6"/>
  <c r="C36" i="11" s="1"/>
  <c r="C21" i="4"/>
  <c r="C15" i="4" s="1"/>
  <c r="E18" i="4"/>
  <c r="I20" i="3"/>
  <c r="I16" i="3"/>
  <c r="I31" i="3"/>
  <c r="I44" i="3"/>
  <c r="I64" i="3" s="1"/>
  <c r="H42" i="3"/>
  <c r="H55" i="3"/>
  <c r="H46" i="3" s="1"/>
  <c r="I46" i="3" s="1"/>
  <c r="I26" i="3"/>
  <c r="D34" i="2"/>
  <c r="J55" i="3"/>
  <c r="K44" i="3"/>
  <c r="J42" i="3"/>
  <c r="K26" i="3"/>
  <c r="K31" i="3"/>
  <c r="E25" i="3"/>
  <c r="E24" i="3" s="1"/>
  <c r="E58" i="3" s="1"/>
  <c r="F17" i="2"/>
  <c r="F19" i="2" s="1"/>
  <c r="E19" i="2"/>
  <c r="F26" i="3"/>
  <c r="B30" i="2"/>
  <c r="C32" i="2"/>
  <c r="F44" i="3"/>
  <c r="F55" i="3"/>
  <c r="F47" i="3"/>
  <c r="F31" i="3"/>
  <c r="B76" i="2"/>
  <c r="D15" i="2"/>
  <c r="D40" i="2"/>
  <c r="E11" i="2"/>
  <c r="E20" i="4" l="1"/>
  <c r="D20" i="4"/>
  <c r="D21" i="4"/>
  <c r="D15" i="4" s="1"/>
  <c r="H25" i="3"/>
  <c r="H24" i="3" s="1"/>
  <c r="I24" i="3" s="1"/>
  <c r="C23" i="4"/>
  <c r="D99" i="6" s="1"/>
  <c r="E99" i="6" s="1"/>
  <c r="J25" i="3"/>
  <c r="E21" i="4"/>
  <c r="E15" i="4" s="1"/>
  <c r="J46" i="3"/>
  <c r="F25" i="3"/>
  <c r="D32" i="2"/>
  <c r="D25" i="2"/>
  <c r="D30" i="2"/>
  <c r="B75" i="2"/>
  <c r="C71" i="2"/>
  <c r="B25" i="2"/>
  <c r="B80" i="2"/>
  <c r="B79" i="2"/>
  <c r="B68" i="2"/>
  <c r="B78" i="2"/>
  <c r="B72" i="2"/>
  <c r="B71" i="2"/>
  <c r="B86" i="2"/>
  <c r="B74" i="2"/>
  <c r="B66" i="2"/>
  <c r="B20" i="2"/>
  <c r="B87" i="2"/>
  <c r="B70" i="2"/>
  <c r="B67" i="2"/>
  <c r="F24" i="3"/>
  <c r="G46" i="3"/>
  <c r="C33" i="4"/>
  <c r="G25" i="3"/>
  <c r="F11" i="2"/>
  <c r="E15" i="2"/>
  <c r="E65" i="2"/>
  <c r="E40" i="2"/>
  <c r="A38" i="2"/>
  <c r="D12" i="3" l="1"/>
  <c r="D67" i="3"/>
  <c r="E63" i="3"/>
  <c r="J24" i="3"/>
  <c r="J58" i="3" s="1"/>
  <c r="H58" i="3"/>
  <c r="B81" i="2"/>
  <c r="B77" i="2"/>
  <c r="C68" i="2"/>
  <c r="C80" i="2"/>
  <c r="C78" i="2"/>
  <c r="C72" i="2"/>
  <c r="C75" i="2"/>
  <c r="C74" i="2"/>
  <c r="C86" i="2"/>
  <c r="C70" i="2"/>
  <c r="C79" i="2"/>
  <c r="C76" i="2"/>
  <c r="C87" i="2"/>
  <c r="C66" i="2"/>
  <c r="C67" i="2"/>
  <c r="B69" i="2"/>
  <c r="B73" i="2"/>
  <c r="F40" i="2"/>
  <c r="F15" i="2"/>
  <c r="F65" i="2"/>
  <c r="D69" i="2"/>
  <c r="E66" i="3" l="1"/>
  <c r="I58" i="3"/>
  <c r="D33" i="4"/>
  <c r="J63" i="3"/>
  <c r="E33" i="4"/>
  <c r="C31" i="4"/>
  <c r="C30" i="4"/>
  <c r="H63" i="3"/>
  <c r="C69" i="2"/>
  <c r="C77" i="2"/>
  <c r="C81" i="2"/>
  <c r="C73" i="2"/>
  <c r="B82" i="2"/>
  <c r="D77" i="2"/>
  <c r="D87" i="2"/>
  <c r="D73" i="2"/>
  <c r="D81" i="2"/>
  <c r="D86" i="2"/>
  <c r="E30" i="4" l="1"/>
  <c r="K63" i="3"/>
  <c r="D30" i="4"/>
  <c r="E67" i="3"/>
  <c r="J66" i="3"/>
  <c r="E31" i="4"/>
  <c r="I63" i="3"/>
  <c r="H66" i="3"/>
  <c r="D31" i="4"/>
  <c r="D82" i="2"/>
  <c r="C82" i="2"/>
  <c r="H67" i="3" l="1"/>
  <c r="J67" i="3" s="1"/>
  <c r="J68" i="3" s="1"/>
  <c r="C27" i="4"/>
  <c r="E24" i="2"/>
  <c r="C25" i="4" l="1"/>
  <c r="E34" i="2"/>
  <c r="E73" i="2" s="1"/>
  <c r="F24" i="2"/>
  <c r="F34" i="2" l="1"/>
  <c r="F32" i="2" s="1"/>
  <c r="E87" i="2"/>
  <c r="E77" i="2"/>
  <c r="E81" i="2"/>
  <c r="E86" i="2"/>
  <c r="E69" i="2"/>
  <c r="E25" i="2"/>
  <c r="E30" i="2"/>
  <c r="E32" i="2"/>
  <c r="F87" i="2" l="1"/>
  <c r="F77" i="2"/>
  <c r="F86" i="2"/>
  <c r="F30" i="2"/>
  <c r="F69" i="2"/>
  <c r="F81" i="2"/>
  <c r="F25" i="2"/>
  <c r="F73" i="2"/>
  <c r="E82" i="2"/>
  <c r="F82" i="2" l="1"/>
  <c r="H89" i="6" l="1"/>
  <c r="D38" i="11" s="1"/>
  <c r="D39" i="11" s="1"/>
  <c r="I51" i="6"/>
  <c r="H95" i="6" l="1"/>
  <c r="H98" i="6" s="1"/>
  <c r="D33" i="11" s="1"/>
  <c r="K51" i="6"/>
  <c r="J50" i="6"/>
  <c r="J89" i="6" l="1"/>
  <c r="E38" i="11" s="1"/>
  <c r="E39" i="11" s="1"/>
  <c r="K50" i="6"/>
  <c r="D74" i="13"/>
  <c r="D75" i="13" s="1"/>
  <c r="D37" i="11"/>
  <c r="D36" i="11"/>
  <c r="H99" i="6" l="1"/>
  <c r="J95" i="6"/>
  <c r="E36" i="11" l="1"/>
  <c r="J98" i="6"/>
  <c r="J99" i="6" s="1"/>
  <c r="E37" i="11"/>
  <c r="E33"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Tung Nguyen</author>
    <author>Microsoft Office User</author>
  </authors>
  <commentList>
    <comment ref="B1" authorId="0" shapeId="0" xr:uid="{00000000-0006-0000-0000-000001000000}">
      <text>
        <r>
          <rPr>
            <sz val="10"/>
            <color indexed="81"/>
            <rFont val="Tahoma"/>
            <family val="2"/>
          </rPr>
          <t>Tại ô (E8): bạn cần điền tên của công ty, hoặc dự án liên quan!</t>
        </r>
      </text>
    </comment>
    <comment ref="B2" authorId="0" shapeId="0" xr:uid="{00000000-0006-0000-0000-000002000000}">
      <text>
        <r>
          <rPr>
            <sz val="10"/>
            <color indexed="81"/>
            <rFont val="Tahoma"/>
            <family val="2"/>
          </rPr>
          <t>Ô (E10): Điền tên của người đại diện công ty, thông thường là tên của giám đốc.</t>
        </r>
      </text>
    </comment>
    <comment ref="B3" authorId="0" shapeId="0" xr:uid="{00000000-0006-0000-0000-000003000000}">
      <text>
        <r>
          <rPr>
            <sz val="10"/>
            <color indexed="81"/>
            <rFont val="Tahoma"/>
            <family val="2"/>
          </rPr>
          <t>Ô (E12): Điền địa chỉ hiện tại của công ty.</t>
        </r>
      </text>
    </comment>
    <comment ref="B4" authorId="0" shapeId="0" xr:uid="{00000000-0006-0000-0000-000004000000}">
      <text>
        <r>
          <rPr>
            <sz val="10"/>
            <color indexed="81"/>
            <rFont val="Tahoma"/>
            <family val="2"/>
          </rPr>
          <t>Ô (E14): Điền số điện thoại liên hệ của công ty</t>
        </r>
      </text>
    </comment>
    <comment ref="B5" authorId="0" shapeId="0" xr:uid="{00000000-0006-0000-0000-000005000000}">
      <text>
        <r>
          <rPr>
            <sz val="10"/>
            <color indexed="81"/>
            <rFont val="Tahoma"/>
            <family val="2"/>
          </rPr>
          <t>Ô (E18): Điền địa chỉ email liên hệ, có thể điền địa chỉ email của giám đốc, của công ty, hoặc của người điều phối chính.</t>
        </r>
      </text>
    </comment>
    <comment ref="B6" authorId="0" shapeId="0" xr:uid="{00000000-0006-0000-0000-000006000000}">
      <text>
        <r>
          <rPr>
            <sz val="10"/>
            <color indexed="81"/>
            <rFont val="Tahoma"/>
            <family val="2"/>
          </rPr>
          <t>Ô (E20): Điền thời gian của ngày lập kế hoạch tài chính</t>
        </r>
      </text>
    </comment>
    <comment ref="B11" authorId="0" shapeId="0" xr:uid="{00000000-0006-0000-0000-000007000000}">
      <text>
        <r>
          <rPr>
            <sz val="10"/>
            <color indexed="81"/>
            <rFont val="Tahoma"/>
            <family val="2"/>
          </rPr>
          <t>Ô (B12): Điền vào ô này năm đầu tiên doanh nghiệp bắt đầu hoạt động (có thể là năm 2009, 2010,… tùy thuộc vào doanh nghiệp cụ thể).</t>
        </r>
      </text>
    </comment>
    <comment ref="A16" authorId="0" shapeId="0" xr:uid="{00000000-0006-0000-0000-000008000000}">
      <text>
        <r>
          <rPr>
            <sz val="10"/>
            <color indexed="81"/>
            <rFont val="Tahoma"/>
            <family val="2"/>
          </rPr>
          <t>Mô hình giả định doanh nghiệp sản xuất 5 loại sản phẩm. Tên của các sản phẩm được viết tương ứng vào các ô A17, A21, A25, A29 và A33. Doanh nghiệp có thể có ít hơn 5 sản phẩm hoặc nhiều hơn 5 sản phẩm.</t>
        </r>
      </text>
    </comment>
    <comment ref="B17" authorId="0" shapeId="0" xr:uid="{00000000-0006-0000-0000-000009000000}">
      <text>
        <r>
          <rPr>
            <sz val="10"/>
            <color rgb="FF000000"/>
            <rFont val="Tahoma"/>
            <family val="2"/>
          </rPr>
          <t>Các ô (B18:F18) dự báo lượng sản phẩm 1 được tiêu thụ theo từng năm của 5 năm hoạt động đầu tiên. Lượng sản phẩm bán ra theo năm có thể tăng hoặc giảm hoặc không đổi căn cứ vào nhu cầu thị trường và sức sản xuất của doanh nghiệp.</t>
        </r>
      </text>
    </comment>
    <comment ref="D17" authorId="1" shapeId="0" xr:uid="{00000000-0006-0000-0000-00000A000000}">
      <text>
        <r>
          <rPr>
            <b/>
            <sz val="10"/>
            <color rgb="FF000000"/>
            <rFont val="Tahoma"/>
            <family val="2"/>
          </rPr>
          <t>Microsoft Office User:</t>
        </r>
        <r>
          <rPr>
            <sz val="10"/>
            <color rgb="FF000000"/>
            <rFont val="Tahoma"/>
            <family val="2"/>
          </rPr>
          <t xml:space="preserve">
</t>
        </r>
      </text>
    </comment>
    <comment ref="B18" authorId="0" shapeId="0" xr:uid="{00000000-0006-0000-0000-00000B000000}">
      <text>
        <r>
          <rPr>
            <sz val="10"/>
            <color rgb="FF000000"/>
            <rFont val="Tahoma"/>
            <family val="2"/>
          </rPr>
          <t>Các ô (B19:F19) dự báo giá bán trung bình của sản phẩm theo từng năm trong giai đoạn 5 năm hoạt động đầu tiên. Giá bán có thể thay đổi. Đơn vị giá bán sản phẩm là VNĐ.</t>
        </r>
      </text>
    </comment>
    <comment ref="A21" authorId="0" shapeId="0" xr:uid="{00000000-0006-0000-0000-00000C000000}">
      <text>
        <r>
          <rPr>
            <sz val="10"/>
            <color indexed="81"/>
            <rFont val="Tahoma"/>
            <family val="2"/>
          </rPr>
          <t xml:space="preserve">Sử dụng hướng dẫn điền thông tin đối với sản phẩm 1 tại ô A17 để điền thông tin cho các sản phẩm 2 - sản phẩm 5 nếu có (bao gồm tên sản phẩm, số lượng đơn vị sản phẩm và đơn giá). </t>
        </r>
      </text>
    </comment>
    <comment ref="A26" authorId="0" shapeId="0" xr:uid="{00000000-0006-0000-0000-00000D000000}">
      <text>
        <r>
          <rPr>
            <sz val="10"/>
            <color indexed="81"/>
            <rFont val="Tahoma"/>
            <family val="2"/>
          </rPr>
          <t xml:space="preserve">Sử dụng hướng dẫn điền thông tin đối với sản phẩm 1 tại ô A17 để điền thông tin cho các sản phẩm 2 - sản phẩm 5 nếu có (bao gồm tên sản phẩm, số lượng đơn vị sản phẩm và đơn giá). </t>
        </r>
      </text>
    </comment>
    <comment ref="B41" authorId="0" shapeId="0" xr:uid="{00000000-0006-0000-0000-00000E000000}">
      <text>
        <r>
          <rPr>
            <sz val="10"/>
            <color indexed="81"/>
            <rFont val="Tahoma"/>
            <family val="2"/>
          </rPr>
          <t xml:space="preserve">Doanh thu dự báo theo năm có thể được phân bổ cho các Tháng trong hai năm hoạt động đầu tiên, và phân bổ cho các Quý đối với ba năm hoạt động còn lại (do dự báo dài hạn theo tháng có thể ít chính xác hơn).
Tổng các tỷ lệ phần trăm doanh thu phân bổ cho các tháng hoặc quý trong một năm phải bằng 100% doanh thu của cả năm đó. 
Nếu phần kiểm tra trong ô màu đỏ hiện thị "OK", báo hiệu tổng số các tỷ lệ doanh thu phân bổ cho các tháng/ hoặc quý theo năm đã bằng đúng 100% - các ô (I33:M33). Nếu hiển thị "Chưa được", người sử dụng cần phải tiếp tục thay đổi tỷ lệ phân bổ doanh thu cho phù hợp hơn.
</t>
        </r>
      </text>
    </comment>
    <comment ref="D44" authorId="0" shapeId="0" xr:uid="{00000000-0006-0000-0000-00000F000000}">
      <text>
        <r>
          <rPr>
            <sz val="10"/>
            <color indexed="81"/>
            <rFont val="Tahoma"/>
            <family val="2"/>
          </rPr>
          <t>Do dự báo tỷ lê doanh thu theo tháng từ năm thứ 3 trở đi có thể không chính xác, mô hình được xây dựng chỉ dự báo tỷ lệ doanh thu theo quý từ các năm thứ 3 trở đi. Tổng các tỷ lệ doanh thu theo quý của từng năm phải bằng 100%.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Tung Nguyen</author>
    <author>Microsoft Office User</author>
  </authors>
  <commentList>
    <comment ref="C1" authorId="0" shapeId="0" xr:uid="{00000000-0006-0000-0100-000001000000}">
      <text>
        <r>
          <rPr>
            <sz val="10"/>
            <color indexed="81"/>
            <rFont val="Tahoma"/>
            <family val="2"/>
          </rPr>
          <t>Ô (E10): Điền tên của người đại diện công ty, thông thường là tên của giám đốc.</t>
        </r>
      </text>
    </comment>
    <comment ref="C3" authorId="0" shapeId="0" xr:uid="{00000000-0006-0000-0100-000002000000}">
      <text>
        <r>
          <rPr>
            <sz val="10"/>
            <color rgb="FF000000"/>
            <rFont val="Tahoma"/>
            <family val="2"/>
          </rPr>
          <t>Ô (E12): Điền địa chỉ hiện tại của công ty.</t>
        </r>
      </text>
    </comment>
    <comment ref="C4" authorId="0" shapeId="0" xr:uid="{00000000-0006-0000-0100-000003000000}">
      <text>
        <r>
          <rPr>
            <sz val="10"/>
            <color rgb="FF000000"/>
            <rFont val="Tahoma"/>
            <family val="2"/>
          </rPr>
          <t>Ô (E14): Điền số điện thoại liên hệ của công ty</t>
        </r>
      </text>
    </comment>
    <comment ref="C5" authorId="0" shapeId="0" xr:uid="{00000000-0006-0000-0100-000004000000}">
      <text>
        <r>
          <rPr>
            <sz val="10"/>
            <color rgb="FF000000"/>
            <rFont val="Tahoma"/>
            <family val="2"/>
          </rPr>
          <t>Ô (E18): Điền địa chỉ email liên hệ, có thể điền địa chỉ email của giám đốc, của công ty, hoặc của người điều phối chính.</t>
        </r>
      </text>
    </comment>
    <comment ref="C6" authorId="0" shapeId="0" xr:uid="{00000000-0006-0000-0100-000005000000}">
      <text>
        <r>
          <rPr>
            <sz val="10"/>
            <color indexed="81"/>
            <rFont val="Tahoma"/>
            <family val="2"/>
          </rPr>
          <t>Ô (E20): Điền thời gian của ngày lập kế hoạch tài chính</t>
        </r>
      </text>
    </comment>
    <comment ref="F38" authorId="1" shapeId="0" xr:uid="{00000000-0006-0000-0100-000006000000}">
      <text>
        <r>
          <rPr>
            <b/>
            <sz val="10"/>
            <color indexed="8"/>
            <rFont val="Tahoma"/>
            <family val="2"/>
          </rPr>
          <t>Microsoft Office User:</t>
        </r>
        <r>
          <rPr>
            <sz val="10"/>
            <color indexed="8"/>
            <rFont val="Tahoma"/>
            <family val="2"/>
          </rPr>
          <t xml:space="preserve">
</t>
        </r>
        <r>
          <rPr>
            <sz val="10"/>
            <color indexed="8"/>
            <rFont val="Tahoma"/>
            <family val="2"/>
          </rPr>
          <t>Doanh thu từ các hoạt động bán hàng không phải kênh Bệnh viện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Tung Nguyen</author>
  </authors>
  <commentList>
    <comment ref="C1" authorId="0" shapeId="0" xr:uid="{00000000-0006-0000-0300-000001000000}">
      <text>
        <r>
          <rPr>
            <sz val="10"/>
            <color rgb="FF000000"/>
            <rFont val="Tahoma"/>
            <family val="2"/>
          </rPr>
          <t>Ô (E10): Điền tên của người đại diện công ty, thông thường là tên của giám đốc.</t>
        </r>
      </text>
    </comment>
    <comment ref="C3" authorId="0" shapeId="0" xr:uid="{00000000-0006-0000-0300-000002000000}">
      <text>
        <r>
          <rPr>
            <sz val="10"/>
            <color rgb="FF000000"/>
            <rFont val="Tahoma"/>
            <family val="2"/>
          </rPr>
          <t>Ô (E12): Điền địa chỉ hiện tại của công ty.</t>
        </r>
      </text>
    </comment>
    <comment ref="C4" authorId="0" shapeId="0" xr:uid="{00000000-0006-0000-0300-000003000000}">
      <text>
        <r>
          <rPr>
            <sz val="10"/>
            <color rgb="FF000000"/>
            <rFont val="Tahoma"/>
            <family val="2"/>
          </rPr>
          <t>Ô (E14): Điền số điện thoại liên hệ của công ty</t>
        </r>
      </text>
    </comment>
    <comment ref="C5" authorId="0" shapeId="0" xr:uid="{00000000-0006-0000-0300-000004000000}">
      <text>
        <r>
          <rPr>
            <sz val="10"/>
            <color indexed="81"/>
            <rFont val="Tahoma"/>
            <family val="2"/>
          </rPr>
          <t>Ô (E18): Điền địa chỉ email liên hệ, có thể điền địa chỉ email của giám đốc, của công ty, hoặc của người điều phối chính.</t>
        </r>
      </text>
    </comment>
    <comment ref="C6" authorId="0" shapeId="0" xr:uid="{00000000-0006-0000-0300-000005000000}">
      <text>
        <r>
          <rPr>
            <sz val="10"/>
            <color rgb="FF000000"/>
            <rFont val="Tahoma"/>
            <family val="2"/>
          </rPr>
          <t>Ô (E20): Điền thời gian của ngày lập kế hoạch tài chính</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Tung Nguyen</author>
    <author>Microsoft Office User</author>
  </authors>
  <commentList>
    <comment ref="C1" authorId="0" shapeId="0" xr:uid="{00000000-0006-0000-0400-000001000000}">
      <text>
        <r>
          <rPr>
            <sz val="10"/>
            <color rgb="FF000000"/>
            <rFont val="Tahoma"/>
            <family val="2"/>
          </rPr>
          <t>Ô (E10): Điền tên của người đại diện công ty, thông thường là tên của giám đốc.</t>
        </r>
      </text>
    </comment>
    <comment ref="C3" authorId="0" shapeId="0" xr:uid="{00000000-0006-0000-0400-000002000000}">
      <text>
        <r>
          <rPr>
            <sz val="10"/>
            <color rgb="FF000000"/>
            <rFont val="Tahoma"/>
            <family val="2"/>
          </rPr>
          <t>Ô (E12): Điền địa chỉ hiện tại của công ty.</t>
        </r>
      </text>
    </comment>
    <comment ref="C4" authorId="0" shapeId="0" xr:uid="{00000000-0006-0000-0400-000003000000}">
      <text>
        <r>
          <rPr>
            <sz val="10"/>
            <color rgb="FF000000"/>
            <rFont val="Tahoma"/>
            <family val="2"/>
          </rPr>
          <t>Ô (E14): Điền số điện thoại liên hệ của công ty</t>
        </r>
      </text>
    </comment>
    <comment ref="C5" authorId="0" shapeId="0" xr:uid="{00000000-0006-0000-0400-000004000000}">
      <text>
        <r>
          <rPr>
            <sz val="10"/>
            <color indexed="81"/>
            <rFont val="Tahoma"/>
            <family val="2"/>
          </rPr>
          <t>Ô (E18): Điền địa chỉ email liên hệ, có thể điền địa chỉ email của giám đốc, của công ty, hoặc của người điều phối chính.</t>
        </r>
      </text>
    </comment>
    <comment ref="C6" authorId="0" shapeId="0" xr:uid="{00000000-0006-0000-0400-000005000000}">
      <text>
        <r>
          <rPr>
            <sz val="10"/>
            <color rgb="FF000000"/>
            <rFont val="Tahoma"/>
            <family val="2"/>
          </rPr>
          <t>Ô (E20): Điền thời gian của ngày lập kế hoạch tài chính</t>
        </r>
      </text>
    </comment>
    <comment ref="F64" authorId="1" shapeId="0" xr:uid="{00000000-0006-0000-0400-000006000000}">
      <text>
        <r>
          <rPr>
            <b/>
            <sz val="10"/>
            <color rgb="FF000000"/>
            <rFont val="Tahoma"/>
            <family val="2"/>
          </rPr>
          <t>Microsoft Office User:</t>
        </r>
        <r>
          <rPr>
            <sz val="10"/>
            <color rgb="FF000000"/>
            <rFont val="Tahoma"/>
            <family val="2"/>
          </rPr>
          <t xml:space="preserve">
</t>
        </r>
        <r>
          <rPr>
            <sz val="10"/>
            <color rgb="FF000000"/>
            <rFont val="Tahoma"/>
            <family val="2"/>
          </rPr>
          <t>Doanh thu từ các hoạt động bán hàng không phải kênh Bệnh viện</t>
        </r>
      </text>
    </comment>
    <comment ref="I64" authorId="1" shapeId="0" xr:uid="{00000000-0006-0000-0400-000007000000}">
      <text>
        <r>
          <rPr>
            <b/>
            <sz val="10"/>
            <color rgb="FF000000"/>
            <rFont val="Tahoma"/>
            <family val="2"/>
          </rPr>
          <t>Microsoft Office User:</t>
        </r>
        <r>
          <rPr>
            <sz val="10"/>
            <color rgb="FF000000"/>
            <rFont val="Tahoma"/>
            <family val="2"/>
          </rPr>
          <t xml:space="preserve">
</t>
        </r>
        <r>
          <rPr>
            <sz val="10"/>
            <color rgb="FF000000"/>
            <rFont val="Tahoma"/>
            <family val="2"/>
          </rPr>
          <t>Doanh thu từ các hoạt động bán hàng không phải kênh Bệnh viện</t>
        </r>
      </text>
    </comment>
    <comment ref="K64" authorId="1" shapeId="0" xr:uid="{00000000-0006-0000-0400-000008000000}">
      <text>
        <r>
          <rPr>
            <b/>
            <sz val="10"/>
            <color rgb="FF000000"/>
            <rFont val="Tahoma"/>
            <family val="2"/>
          </rPr>
          <t>Microsoft Office User:</t>
        </r>
        <r>
          <rPr>
            <sz val="10"/>
            <color rgb="FF000000"/>
            <rFont val="Tahoma"/>
            <family val="2"/>
          </rPr>
          <t xml:space="preserve">
</t>
        </r>
        <r>
          <rPr>
            <sz val="10"/>
            <color rgb="FF000000"/>
            <rFont val="Tahoma"/>
            <family val="2"/>
          </rPr>
          <t>Doanh thu từ các hoạt động bán hàng không phải kênh Bệnh viện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Tung Nguyen</author>
  </authors>
  <commentList>
    <comment ref="C1" authorId="0" shapeId="0" xr:uid="{00000000-0006-0000-0500-000001000000}">
      <text>
        <r>
          <rPr>
            <sz val="10"/>
            <color rgb="FF000000"/>
            <rFont val="Tahoma"/>
            <family val="2"/>
          </rPr>
          <t>Ô (E10): Điền tên của người đại diện công ty, thông thường là tên của giám đốc.</t>
        </r>
      </text>
    </comment>
    <comment ref="C3" authorId="0" shapeId="0" xr:uid="{00000000-0006-0000-0500-000002000000}">
      <text>
        <r>
          <rPr>
            <sz val="10"/>
            <color rgb="FF000000"/>
            <rFont val="Tahoma"/>
            <family val="2"/>
          </rPr>
          <t>Ô (E12): Điền địa chỉ hiện tại của công ty.</t>
        </r>
      </text>
    </comment>
    <comment ref="C4" authorId="0" shapeId="0" xr:uid="{00000000-0006-0000-0500-000003000000}">
      <text>
        <r>
          <rPr>
            <sz val="10"/>
            <color rgb="FF000000"/>
            <rFont val="Tahoma"/>
            <family val="2"/>
          </rPr>
          <t>Ô (E14): Điền số điện thoại liên hệ của công ty</t>
        </r>
      </text>
    </comment>
    <comment ref="C5" authorId="0" shapeId="0" xr:uid="{00000000-0006-0000-0500-000004000000}">
      <text>
        <r>
          <rPr>
            <sz val="10"/>
            <color indexed="81"/>
            <rFont val="Tahoma"/>
            <family val="2"/>
          </rPr>
          <t>Ô (E18): Điền địa chỉ email liên hệ, có thể điền địa chỉ email của giám đốc, của công ty, hoặc của người điều phối chính.</t>
        </r>
      </text>
    </comment>
    <comment ref="C6" authorId="0" shapeId="0" xr:uid="{00000000-0006-0000-0500-000005000000}">
      <text>
        <r>
          <rPr>
            <sz val="10"/>
            <color rgb="FF000000"/>
            <rFont val="Tahoma"/>
            <family val="2"/>
          </rPr>
          <t>Ô (E20): Điền thời gian của ngày lập kế hoạch tài chính</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Tung Nguyen</author>
  </authors>
  <commentList>
    <comment ref="C1" authorId="0" shapeId="0" xr:uid="{00000000-0006-0000-0600-000001000000}">
      <text>
        <r>
          <rPr>
            <sz val="10"/>
            <color rgb="FF000000"/>
            <rFont val="Tahoma"/>
            <family val="2"/>
          </rPr>
          <t>Ô (E10): Điền tên của người đại diện công ty, thông thường là tên của giám đốc.</t>
        </r>
      </text>
    </comment>
    <comment ref="C3" authorId="0" shapeId="0" xr:uid="{00000000-0006-0000-0600-000002000000}">
      <text>
        <r>
          <rPr>
            <sz val="10"/>
            <color rgb="FF000000"/>
            <rFont val="Tahoma"/>
            <family val="2"/>
          </rPr>
          <t>Ô (E12): Điền địa chỉ hiện tại của công ty.</t>
        </r>
      </text>
    </comment>
    <comment ref="C4" authorId="0" shapeId="0" xr:uid="{00000000-0006-0000-0600-000003000000}">
      <text>
        <r>
          <rPr>
            <sz val="10"/>
            <color rgb="FF000000"/>
            <rFont val="Tahoma"/>
            <family val="2"/>
          </rPr>
          <t>Ô (E14): Điền số điện thoại liên hệ của công ty</t>
        </r>
      </text>
    </comment>
    <comment ref="C5" authorId="0" shapeId="0" xr:uid="{00000000-0006-0000-0600-000004000000}">
      <text>
        <r>
          <rPr>
            <sz val="10"/>
            <color indexed="81"/>
            <rFont val="Tahoma"/>
            <family val="2"/>
          </rPr>
          <t>Ô (E18): Điền địa chỉ email liên hệ, có thể điền địa chỉ email của giám đốc, của công ty, hoặc của người điều phối chính.</t>
        </r>
      </text>
    </comment>
    <comment ref="C6" authorId="0" shapeId="0" xr:uid="{00000000-0006-0000-0600-000005000000}">
      <text>
        <r>
          <rPr>
            <sz val="10"/>
            <color rgb="FF000000"/>
            <rFont val="Tahoma"/>
            <family val="2"/>
          </rPr>
          <t>Ô (E20): Điền thời gian của ngày lập kế hoạch tài chính</t>
        </r>
      </text>
    </comment>
  </commentList>
</comments>
</file>

<file path=xl/sharedStrings.xml><?xml version="1.0" encoding="utf-8"?>
<sst xmlns="http://schemas.openxmlformats.org/spreadsheetml/2006/main" count="653" uniqueCount="272">
  <si>
    <t>Địa chỉ</t>
  </si>
  <si>
    <t>Người đại diện</t>
  </si>
  <si>
    <t>Điện thoại</t>
  </si>
  <si>
    <t>Email</t>
  </si>
  <si>
    <t>Đơn giá</t>
  </si>
  <si>
    <t>Tháng</t>
  </si>
  <si>
    <t>Tháng 1</t>
  </si>
  <si>
    <t>Tháng 2</t>
  </si>
  <si>
    <t>Tháng 3</t>
  </si>
  <si>
    <t>Tổng Quý 1</t>
  </si>
  <si>
    <t>Quý 1</t>
  </si>
  <si>
    <t>Tháng 4</t>
  </si>
  <si>
    <t>Tháng 5</t>
  </si>
  <si>
    <t>Tháng 6</t>
  </si>
  <si>
    <t>Tổng Quý 2</t>
  </si>
  <si>
    <t>Quý 2</t>
  </si>
  <si>
    <t>Tháng 7</t>
  </si>
  <si>
    <t>Tháng 8</t>
  </si>
  <si>
    <t>Tháng 9</t>
  </si>
  <si>
    <t>Tổng Quý 3</t>
  </si>
  <si>
    <t>Quý 3</t>
  </si>
  <si>
    <t>Tháng 10</t>
  </si>
  <si>
    <t>Tháng 11</t>
  </si>
  <si>
    <t>Tháng 12</t>
  </si>
  <si>
    <t>Tổng Quý 4</t>
  </si>
  <si>
    <t>Quý 4</t>
  </si>
  <si>
    <t>Tổng cả năm</t>
  </si>
  <si>
    <t>Cả năm</t>
  </si>
  <si>
    <t>Doanh thu bình quân</t>
  </si>
  <si>
    <t>Năm dự báo</t>
  </si>
  <si>
    <t>Sản phẩm</t>
  </si>
  <si>
    <t>Kiểm tra</t>
  </si>
  <si>
    <t>Tổng doanh thu thuần</t>
  </si>
  <si>
    <t xml:space="preserve"> </t>
  </si>
  <si>
    <t xml:space="preserve">Năm 1 </t>
  </si>
  <si>
    <t>Năm 2</t>
  </si>
  <si>
    <t>Năm 3</t>
  </si>
  <si>
    <t>Năm 4</t>
  </si>
  <si>
    <t>Năm 5</t>
  </si>
  <si>
    <t>Doanh thu theo Tháng và Quý</t>
  </si>
  <si>
    <t>Theo Tháng</t>
  </si>
  <si>
    <t>Theo Quý</t>
  </si>
  <si>
    <t>Ngày/Tháng/Năm</t>
  </si>
  <si>
    <t>(đơn vị: 1000 VNĐ)</t>
  </si>
  <si>
    <t xml:space="preserve">Đơn giá </t>
  </si>
  <si>
    <t>Số lượng đơn vị SP (Đv: Lọ)</t>
  </si>
  <si>
    <t>Tỷ lệ tăng doanh thu các năm</t>
  </si>
  <si>
    <t>TT</t>
  </si>
  <si>
    <t>Nội dung</t>
  </si>
  <si>
    <t>Định khoản</t>
  </si>
  <si>
    <t>A</t>
  </si>
  <si>
    <t>THU</t>
  </si>
  <si>
    <t>B</t>
  </si>
  <si>
    <t>-</t>
  </si>
  <si>
    <t>Tiền thuê VP</t>
  </si>
  <si>
    <t>Lương, phụ cấp thu nhập</t>
  </si>
  <si>
    <t>+</t>
  </si>
  <si>
    <t>Lương BGĐ</t>
  </si>
  <si>
    <t>Lương NV</t>
  </si>
  <si>
    <t>Bảo hiểm,..</t>
  </si>
  <si>
    <t>Chế độ khác cho nhân viên</t>
  </si>
  <si>
    <t>Chế độ cho BGĐ</t>
  </si>
  <si>
    <t>Văn phòng phẩm</t>
  </si>
  <si>
    <t>Quảng cáo truyền thông</t>
  </si>
  <si>
    <t xml:space="preserve">Ngoại giao, Quan hệ </t>
  </si>
  <si>
    <t>Chi khác cho hoạt động</t>
  </si>
  <si>
    <t>Giá vốn hàng bán</t>
  </si>
  <si>
    <t>Chi phí bán hàng</t>
  </si>
  <si>
    <t>Chi phí kinh doanh (hoa hồng, gặp gỡ quà cáp cho khách hàng…)</t>
  </si>
  <si>
    <t>Chi phí sản xuất Sales kit bán hàng (catalog, tờ rơi…)</t>
  </si>
  <si>
    <t>C</t>
  </si>
  <si>
    <t>D</t>
  </si>
  <si>
    <t>Người Lập Biểu</t>
  </si>
  <si>
    <t>Tổng giám đốc</t>
  </si>
  <si>
    <t>DỰ TRÙ TÀI CHÍNH 2019</t>
  </si>
  <si>
    <t>Tiền điện, nước, điện thoại, internet…</t>
  </si>
  <si>
    <t>Chi phí nhỏ (photo, CFN…)</t>
  </si>
  <si>
    <t>E</t>
  </si>
  <si>
    <t>Tên Dự án</t>
  </si>
  <si>
    <t>Số lượng đơn vị SP (ĐV: Lọ)</t>
  </si>
  <si>
    <t>Tỷ trọng doanh thu sản phẩm 
trên tổng doanh thu</t>
  </si>
  <si>
    <t>Doanh thu SP A</t>
  </si>
  <si>
    <t>Doanh thu SP B</t>
  </si>
  <si>
    <t>Lưu ý: Điền số liệu vào những ô có màu</t>
  </si>
  <si>
    <t>Đầu tư</t>
  </si>
  <si>
    <t>Năm 2019</t>
  </si>
  <si>
    <t>Tỷ trọng/ DT</t>
  </si>
  <si>
    <t>Tỷ trọng/ chi phí</t>
  </si>
  <si>
    <t>Năm 2020</t>
  </si>
  <si>
    <t>Năm 2021</t>
  </si>
  <si>
    <t>VỐN ĐẦU TƯ BAN ĐẦU (-)</t>
  </si>
  <si>
    <t>1.</t>
  </si>
  <si>
    <t>Doanh thu (+)</t>
  </si>
  <si>
    <t>1.1</t>
  </si>
  <si>
    <t xml:space="preserve">Sản phẩm ISA </t>
  </si>
  <si>
    <t>ISA bán kênh Bác sĩ, nhà thuốc bệnh viện</t>
  </si>
  <si>
    <t>Kênh nhà thuốc, phòng khám</t>
  </si>
  <si>
    <t>Kênh online</t>
  </si>
  <si>
    <t>Sản phẩm BGplus</t>
  </si>
  <si>
    <t>1.3</t>
  </si>
  <si>
    <t>Sản phẩm khác</t>
  </si>
  <si>
    <t>Chi phí hoạt động (-)</t>
  </si>
  <si>
    <t>Chi phí cố định (-)</t>
  </si>
  <si>
    <t>Chi cho văn phòng: (-)</t>
  </si>
  <si>
    <t>1.2</t>
  </si>
  <si>
    <t>Chi nhân viên (-)</t>
  </si>
  <si>
    <t>Chi phí Marketing - PR   (-)</t>
  </si>
  <si>
    <t>1.4</t>
  </si>
  <si>
    <t>Chi phí khác (-)</t>
  </si>
  <si>
    <t>1.5</t>
  </si>
  <si>
    <t>Năm 2020 đầu tư thêm TSCĐ, đầu tư thêm phần mềm quản trị; tăng chi phí khấu hao TSCĐ</t>
  </si>
  <si>
    <t>Chi phí biến đổi theo hoạt động (-)</t>
  </si>
  <si>
    <t>2.1</t>
  </si>
  <si>
    <t>Sản phẩm ISA (hạch toán lại giá thành) (đã bao gồm chi phí hàng tồn và biếu tặng)</t>
  </si>
  <si>
    <t>Sản phẩm PGPlus, đã bao gồm hàng tồn và biếu tặng</t>
  </si>
  <si>
    <t>2.2</t>
  </si>
  <si>
    <t>Lương % hoa hồng bán hàng  của  phòng KD</t>
  </si>
  <si>
    <t>2.3</t>
  </si>
  <si>
    <t>Chiết khấu nhà thuốc, đại lý, phòng khám</t>
  </si>
  <si>
    <t>Chiết khấu kênh bác sĩ - bệnh viện</t>
  </si>
  <si>
    <t>Lợi nhuận trước thuế (+)</t>
  </si>
  <si>
    <t>Thuế phải nộp (-)</t>
  </si>
  <si>
    <t>Thuế TNCN nộp hộ (nếu có) (-)</t>
  </si>
  <si>
    <t>Thuế môn bài (-)</t>
  </si>
  <si>
    <t>Thuế TNDN phải nộp (-)</t>
  </si>
  <si>
    <t>Lợi nhuận sau thuế (+)</t>
  </si>
  <si>
    <t>Cộng khấu hao TSCĐ (+)</t>
  </si>
  <si>
    <t>F</t>
  </si>
  <si>
    <t>Thanh lý cuối kỳ (+)</t>
  </si>
  <si>
    <t>BCC Beta - glucan</t>
  </si>
  <si>
    <t>Sản phẩm khác (Giả định phát triển thêm một số nhóm sản phẩm khác)</t>
  </si>
  <si>
    <t>Sản phẩm ISA (và nhóm sản phẩm tương đương sau 2021, giả định vẫn ở mức giá tương đương)</t>
  </si>
  <si>
    <t>Sản phẩm BGPlus (và nhóm sản phẩm tương đương sau 2021, giả định vẫn ở mức giá tương đương)</t>
  </si>
  <si>
    <t xml:space="preserve">Chi khác </t>
  </si>
  <si>
    <t>Số lượng sản phẩm 2020</t>
  </si>
  <si>
    <t>Số lượng SP 2012</t>
  </si>
  <si>
    <t>Nghiên cứu và phát triển sản phẩm</t>
  </si>
  <si>
    <t>Đơn vị tínnh VND</t>
  </si>
  <si>
    <t>Điền số liệu</t>
  </si>
  <si>
    <t>Tư vấn chiến lược</t>
  </si>
  <si>
    <t>Trang thiết bị văn phòng</t>
  </si>
  <si>
    <t>Đầu tư cơ bản</t>
  </si>
  <si>
    <t>I</t>
  </si>
  <si>
    <t xml:space="preserve">Tiền mặt lưu chuyển </t>
  </si>
  <si>
    <t>Chi phí sản xuất</t>
  </si>
  <si>
    <t>Chi phí khác</t>
  </si>
  <si>
    <t>Đầu tư phần mềm CRM</t>
  </si>
  <si>
    <t>Đầu tư phần mềm quản trị</t>
  </si>
  <si>
    <t>Chi phí lương  tháng</t>
  </si>
  <si>
    <t>Chi phí hoạt động  tháng</t>
  </si>
  <si>
    <t>Chi phí marketing</t>
  </si>
  <si>
    <t>Đầu tư cơ bản khác</t>
  </si>
  <si>
    <t>Phân tích chỉ số tài chính</t>
  </si>
  <si>
    <t>Chi phí sử dụng vốn</t>
  </si>
  <si>
    <t>EBIT</t>
  </si>
  <si>
    <t>Giá sản phẩm dự kiến</t>
  </si>
  <si>
    <t>Số lượng SP 2019</t>
  </si>
  <si>
    <t xml:space="preserve">Chi phí khấu hao TSCĐ (-) </t>
  </si>
  <si>
    <t>Thời gian hoàn vốn</t>
  </si>
  <si>
    <t>Dòng tiền tích luỹ</t>
  </si>
  <si>
    <t>Dòng tiền ròng</t>
  </si>
  <si>
    <t>G</t>
  </si>
  <si>
    <t>H</t>
  </si>
  <si>
    <t>Thời gian hoàn vốn (tháng)</t>
  </si>
  <si>
    <t>Tổng chi phí đầu tư ban đầu dự kiến</t>
  </si>
  <si>
    <t>ROS - tỷ suất lợi nhuận</t>
  </si>
  <si>
    <t>P/E - tỷ suất sinh lời cổ phiếu</t>
  </si>
  <si>
    <t>ROA - tỷ lệ lợi nhuận/ tổng Tài sản</t>
  </si>
  <si>
    <t>ROE - Tỷ lệ lợi nhuận/ vốn chủ</t>
  </si>
  <si>
    <t>NPV - Giá trị dòng tiền hiện tại</t>
  </si>
  <si>
    <t>EBITDA - Lợi nhuận trước thuế + lãi vay + khấu hao</t>
  </si>
  <si>
    <t>BCC Beta Glucan</t>
  </si>
  <si>
    <t>BẢN PHÂN TÍCH CHI PHÍ ĐẦU TƯ VÀ PHÂN TÍCH CHỈ SỐ TÀI CHÍNH CƠ BẢN</t>
  </si>
  <si>
    <t xml:space="preserve">DỰ BÁO DOANH THU </t>
  </si>
  <si>
    <t>Số lượng SP 2020</t>
  </si>
  <si>
    <t>HHHMMM</t>
  </si>
  <si>
    <t xml:space="preserve">BẢNG MÔ TẢ VÀ DỰ KIẾN DOANH SỐ SẢN PHẨM, DỊCH VỤ HÀNG NĂM </t>
  </si>
  <si>
    <t>Mã sản phẩm</t>
  </si>
  <si>
    <t>Tên sản phẩm</t>
  </si>
  <si>
    <t>Kế hoạch cung ứng</t>
  </si>
  <si>
    <t>Số lượng dịch vụ bán năm 2018</t>
  </si>
  <si>
    <t>Đơn giá (khoảng giá các dịch vụ)</t>
  </si>
  <si>
    <t>Tổng doanh thu Quý 1</t>
  </si>
  <si>
    <t>Tổng doanh thu Quý 2</t>
  </si>
  <si>
    <t>Tổng doanh thu Quý 3</t>
  </si>
  <si>
    <t>Tổng doanh thu Quý 4</t>
  </si>
  <si>
    <t xml:space="preserve">Số lượng dịch vụ bán </t>
  </si>
  <si>
    <t>Doanh thu</t>
  </si>
  <si>
    <t>TH01</t>
  </si>
  <si>
    <t>x</t>
  </si>
  <si>
    <t>II</t>
  </si>
  <si>
    <t>TK02</t>
  </si>
  <si>
    <t>III</t>
  </si>
  <si>
    <t>ĐT03</t>
  </si>
  <si>
    <t>IV</t>
  </si>
  <si>
    <t>QT04</t>
  </si>
  <si>
    <t>V</t>
  </si>
  <si>
    <t>MR05</t>
  </si>
  <si>
    <t>CỘNG</t>
  </si>
  <si>
    <t>B. CHÚ THÍCH</t>
  </si>
  <si>
    <t>Số lượng hàng hoá dịch vụ của tháng/ quý / năm kế tiếp có nhiều phương pháp để tính toán và bị ảnh hưởng bởi nhiều biến số khác nhau như mức tăng trưởng thị phần, mức tăng trưởng nhu cầu của khách hàng, mức độ đầu tư gia tăng, mức độ khác biệt của thương hiệu; thị trường mục tiêu mới, chính sách giá cả hoặc chính sách bán hàng mới... nhưng phương pháp đơn giản nhất có thể tính bằng Mức độ bình quân của 4 tháng cùng kỳ (nếu sản phẩm có tính mùa vụ rõ rệt) hoặc mức độ bình quân của 4 tháng liền kề (nếu sản phẩm không có tính mùa vụ rõ rệt) nhân với tỷ lệ tăng trưởng do doanh nghiệp tự quyết định.</t>
  </si>
  <si>
    <t>Ví dụ: Số lượng mã sản phẩm TH01.1 (Tư vấn theo giờ) của Thanhs trong Th1/2018 = (SL hàng T1/2017+SL T2/2017 + SL Th3/2017 + SL Th4/2017) / 4 x Tỷ lệ tăng trưởng là 50% (vì nhu cầu thị trường tăng trưởng mạnh)</t>
  </si>
  <si>
    <t>Dựa trên mức kế hoạch từng tháng, trưởng phòng KD hoặc GĐ kinh doanh sẽ phân bổ KPI cho từng nhân viên kinh doanh hoặc từng nhóm kinh doanh các chỉ số liên quan tới khách hàng, chăm sóc khách hàng, phát triên năng lực bán hàng; tuyển dụng nhân sự bán hàng...</t>
  </si>
  <si>
    <t>Dựa trên kế hoạch doanh thu này, phòng marketing cũng sẽ cân đối lại kế hoạch marketing sao cho phù hợp với mục tiêu khách hàng của phòng bán hàng/ kinh doanh</t>
  </si>
  <si>
    <t>Số lượng dịch vụ bán năm 2019</t>
  </si>
  <si>
    <t>Số lượng dịch vụ bán năm 2020</t>
  </si>
  <si>
    <t>Doanh số năm 2019</t>
  </si>
  <si>
    <t>Doanh số năm 2020</t>
  </si>
  <si>
    <t>Số lượng SP 2021</t>
  </si>
  <si>
    <t>Kênh A</t>
  </si>
  <si>
    <t>Kênh B</t>
  </si>
  <si>
    <t>Kênh C</t>
  </si>
  <si>
    <t>Kênh D</t>
  </si>
  <si>
    <t>Kênh E</t>
  </si>
  <si>
    <t>Sản phẩm 1</t>
  </si>
  <si>
    <t>SP 2</t>
  </si>
  <si>
    <t>SP 3</t>
  </si>
  <si>
    <t>SP 4</t>
  </si>
  <si>
    <t>SP 5</t>
  </si>
  <si>
    <t>Sản phẩm 2</t>
  </si>
  <si>
    <t>Sản phẩm 3</t>
  </si>
  <si>
    <t>Sản phẩm 4</t>
  </si>
  <si>
    <t>Sản phẩm 5</t>
  </si>
  <si>
    <t>Thu khác</t>
  </si>
  <si>
    <t>Thu lãi ngân hàng</t>
  </si>
  <si>
    <t>đơn vị: 1000 ngàn đồng</t>
  </si>
  <si>
    <t>Sản phâm 5</t>
  </si>
  <si>
    <t>Chi phí nhân viên theo tháng tính 6 tháng</t>
  </si>
  <si>
    <t xml:space="preserve">Chi phí hoạt động </t>
  </si>
  <si>
    <t>Lương % hoa hồng bán hàng  của  đội sales (tính trên tổng DT)</t>
  </si>
  <si>
    <t>Thuế GTGT</t>
  </si>
  <si>
    <t>Chiết khấu đại lý kênh A</t>
  </si>
  <si>
    <t>Chiết khấu đại lý kênh B</t>
  </si>
  <si>
    <t>Chiết khấu đại lý kênh C</t>
  </si>
  <si>
    <t>Chiết khấu đại lý kênh D</t>
  </si>
  <si>
    <t>Chiết khấu đại lý kênhE</t>
  </si>
  <si>
    <t>Chiết khấu đại lý</t>
  </si>
  <si>
    <t xml:space="preserve">BÁO CÁO DỰ BÁO DOANH THU - CHI PHÍ </t>
  </si>
  <si>
    <t>DOANH THU</t>
  </si>
  <si>
    <t>SỐ TIỀN</t>
  </si>
  <si>
    <t>TỶ LỆ TĂNG TRƯỞNG</t>
  </si>
  <si>
    <t>DT THEO SẢN PHẨM</t>
  </si>
  <si>
    <t>SẢN PHẨM 1</t>
  </si>
  <si>
    <t>SẢN PHẨM 2</t>
  </si>
  <si>
    <t>SẢN PHẨM 3</t>
  </si>
  <si>
    <t>SẢN PHẨM 4</t>
  </si>
  <si>
    <t>SẢN PHẨM 5</t>
  </si>
  <si>
    <t>TỶ LỆ TĂNG TRƯỞNG THEO SẢN PHẨM</t>
  </si>
  <si>
    <t>TỶ LỆ % SẢN PHẨM TRONG TỔNG SỐ</t>
  </si>
  <si>
    <t>CHI PHÍ</t>
  </si>
  <si>
    <t>Chi VP</t>
  </si>
  <si>
    <t>Chi nhân viên</t>
  </si>
  <si>
    <t>Chi Marketing</t>
  </si>
  <si>
    <t>Chi khác</t>
  </si>
  <si>
    <t>Chi khấu hao</t>
  </si>
  <si>
    <t>Lương KD</t>
  </si>
  <si>
    <t>CHI PHÍ % TRÊN DOANH THU</t>
  </si>
  <si>
    <t>SO SÁNH DOANH THU - CHI PHÍ</t>
  </si>
  <si>
    <t>% CHI PHÍ / DOANH THU</t>
  </si>
  <si>
    <t>DÒNG TIỀN MẶT CẦN CÓ</t>
  </si>
  <si>
    <t>Tổng chi phí</t>
  </si>
  <si>
    <t>TLTT SẢN PHẨM 1</t>
  </si>
  <si>
    <t>TLTT SẢN PHẨM 2</t>
  </si>
  <si>
    <t>TLTT SẢN PHẨM 3</t>
  </si>
  <si>
    <t>TLTT SẢN PHẨM 4</t>
  </si>
  <si>
    <t>TLTT SẢN PHẨM 5</t>
  </si>
  <si>
    <t>Tỉ lệ CP/DT</t>
  </si>
  <si>
    <t>EBIT= Lợi nhuận trước thuế + Chi phí lãi vay (Hiện chi phí lãi vay =0)</t>
  </si>
  <si>
    <t>EBITDA = EBIT+Khấu hao</t>
  </si>
  <si>
    <t>EBITDA</t>
  </si>
  <si>
    <t>Đầu tư phần mềm CRM + Sales+ kế toán</t>
  </si>
  <si>
    <t>Tính hết năm 3, dòng tiền tích lũy là -2.985.259. Cho nên thời gian hoàn vốn của dự án sẽ khoảng 5 năm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</si>
</sst>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_(* \(#,##0\);_(* &quot;-&quot;_);_(@_)"/>
    <numFmt numFmtId="43" formatCode="_(* #,##0.00_);_(* \(#,##0.00\);_(* &quot;-&quot;??_);_(@_)"/>
    <numFmt numFmtId="164" formatCode="&quot;$&quot;#,##0_);[Red]\(&quot;$&quot;#,##0\)"/>
    <numFmt numFmtId="165" formatCode="_(&quot;$&quot;* #,##0.00_);_(&quot;$&quot;* \(#,##0.00\);_(&quot;$&quot;* &quot;-&quot;??_);_(@_)"/>
    <numFmt numFmtId="166" formatCode="0.0%"/>
    <numFmt numFmtId="167" formatCode="#,##0.0_);\(#,##0.0\)"/>
    <numFmt numFmtId="168" formatCode="#,##0.0"/>
    <numFmt numFmtId="169" formatCode="0_);\(0\)"/>
    <numFmt numFmtId="170" formatCode="_-* #,##0.00\ _₫_-;\-* #,##0.00\ _₫_-;_-* &quot;-&quot;??\ _₫_-;_-@_-"/>
    <numFmt numFmtId="171" formatCode="_-* #,##0\ _₫_-;\-* #,##0\ _₫_-;_-* &quot;-&quot;??\ _₫_-;_-@_-"/>
    <numFmt numFmtId="172" formatCode="_(* #,##0_);_(* \(#,##0\);_(* &quot;-&quot;??_);_(@_)"/>
  </numFmts>
  <fonts count="52">
    <font>
      <sz val="10"/>
      <name val="Arial"/>
      <family val="2"/>
    </font>
    <font>
      <sz val="10"/>
      <name val="Arial"/>
      <family val="2"/>
    </font>
    <font>
      <sz val="8"/>
      <name val="Arial"/>
      <family val="2"/>
    </font>
    <font>
      <sz val="10"/>
      <name val="MS Sans Serif"/>
      <family val="2"/>
    </font>
    <font>
      <sz val="12"/>
      <name val="Arial"/>
      <family val="2"/>
    </font>
    <font>
      <u/>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Genev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1"/>
      <name val="Tahoma"/>
      <family val="2"/>
    </font>
    <font>
      <b/>
      <sz val="10"/>
      <name val="Tahoma"/>
      <family val="2"/>
    </font>
    <font>
      <sz val="10"/>
      <color theme="1"/>
      <name val="Tahoma"/>
      <family val="2"/>
    </font>
    <font>
      <b/>
      <sz val="12"/>
      <color theme="1"/>
      <name val="Tahoma"/>
      <family val="2"/>
    </font>
    <font>
      <b/>
      <sz val="10"/>
      <color theme="1"/>
      <name val="Tahoma"/>
      <family val="2"/>
    </font>
    <font>
      <sz val="10"/>
      <color rgb="FFFF0000"/>
      <name val="Tahoma"/>
      <family val="2"/>
    </font>
    <font>
      <b/>
      <i/>
      <sz val="10"/>
      <color theme="1"/>
      <name val="Tahoma"/>
      <family val="2"/>
    </font>
    <font>
      <u/>
      <sz val="10"/>
      <color theme="1"/>
      <name val="Tahoma"/>
      <family val="2"/>
    </font>
    <font>
      <sz val="12"/>
      <color theme="1"/>
      <name val="Tahoma"/>
      <family val="2"/>
    </font>
    <font>
      <i/>
      <sz val="10"/>
      <color theme="1"/>
      <name val="Tahoma"/>
      <family val="2"/>
    </font>
    <font>
      <sz val="11"/>
      <color theme="1"/>
      <name val="Calibri"/>
      <family val="2"/>
      <scheme val="minor"/>
    </font>
    <font>
      <sz val="10"/>
      <color rgb="FF000000"/>
      <name val="Tahoma"/>
      <family val="2"/>
    </font>
    <font>
      <sz val="10"/>
      <name val="Tahoma"/>
      <family val="2"/>
    </font>
    <font>
      <i/>
      <sz val="10"/>
      <name val="Tahoma"/>
      <family val="2"/>
    </font>
    <font>
      <b/>
      <i/>
      <sz val="10"/>
      <name val="Tahoma"/>
      <family val="2"/>
    </font>
    <font>
      <b/>
      <sz val="10"/>
      <color indexed="8"/>
      <name val="Tahoma"/>
      <family val="2"/>
    </font>
    <font>
      <sz val="10"/>
      <color indexed="8"/>
      <name val="Tahoma"/>
      <family val="2"/>
    </font>
    <font>
      <b/>
      <sz val="10"/>
      <color rgb="FF000000"/>
      <name val="Tahoma"/>
      <family val="2"/>
    </font>
    <font>
      <b/>
      <sz val="10"/>
      <name val="Arial"/>
      <family val="2"/>
    </font>
    <font>
      <b/>
      <i/>
      <sz val="10"/>
      <color rgb="FFFF0000"/>
      <name val="Tahoma"/>
      <family val="2"/>
    </font>
    <font>
      <i/>
      <sz val="10"/>
      <color rgb="FFFF0000"/>
      <name val="Tahoma"/>
      <family val="2"/>
    </font>
    <font>
      <b/>
      <sz val="10"/>
      <color rgb="FFFF0000"/>
      <name val="Arial"/>
      <family val="2"/>
    </font>
    <font>
      <sz val="10"/>
      <color theme="3" tint="0.39997558519241921"/>
      <name val="Tahoma"/>
      <family val="2"/>
    </font>
    <font>
      <b/>
      <sz val="16"/>
      <color theme="1"/>
      <name val="Tahoma"/>
      <family val="2"/>
    </font>
    <font>
      <b/>
      <sz val="14"/>
      <name val="Arial"/>
      <family val="2"/>
    </font>
    <font>
      <b/>
      <sz val="10"/>
      <color theme="3" tint="0.39997558519241921"/>
      <name val="Tahoma"/>
      <family val="2"/>
    </font>
    <font>
      <b/>
      <sz val="14"/>
      <name val="Tahoma"/>
      <family val="2"/>
    </font>
    <font>
      <b/>
      <sz val="10"/>
      <color rgb="FFFF0000"/>
      <name val="Tahoma"/>
      <family val="2"/>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9" tint="0.39997558519241921"/>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rgb="FFFFFF99"/>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9"/>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s>
  <cellStyleXfs count="53">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165" fontId="1"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5" fillId="0" borderId="0" applyNumberFormat="0" applyFill="0" applyBorder="0" applyAlignment="0" applyProtection="0">
      <alignment vertical="top"/>
      <protection locked="0"/>
    </xf>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1" fillId="0" borderId="0"/>
    <xf numFmtId="0" fontId="4" fillId="0" borderId="0"/>
    <xf numFmtId="0" fontId="3" fillId="0" borderId="0"/>
    <xf numFmtId="0" fontId="3" fillId="0" borderId="0"/>
    <xf numFmtId="0" fontId="11" fillId="23" borderId="7" applyNumberFormat="0" applyFont="0" applyAlignment="0" applyProtection="0"/>
    <xf numFmtId="0" fontId="20" fillId="20" borderId="8" applyNumberFormat="0" applyAlignment="0" applyProtection="0"/>
    <xf numFmtId="9" fontId="1"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1" fillId="0" borderId="0" applyFont="0" applyFill="0" applyBorder="0" applyAlignment="0" applyProtection="0"/>
    <xf numFmtId="0" fontId="34" fillId="0" borderId="0"/>
    <xf numFmtId="41" fontId="1" fillId="0" borderId="0" applyFont="0" applyFill="0" applyBorder="0" applyAlignment="0" applyProtection="0"/>
    <xf numFmtId="170" fontId="34" fillId="0" borderId="0" applyFont="0" applyFill="0" applyBorder="0" applyAlignment="0" applyProtection="0"/>
  </cellStyleXfs>
  <cellXfs count="717">
    <xf numFmtId="0" fontId="0" fillId="0" borderId="0" xfId="0"/>
    <xf numFmtId="0" fontId="26" fillId="0" borderId="0" xfId="41" applyFont="1" applyFill="1" applyBorder="1" applyAlignment="1" applyProtection="1">
      <alignment horizontal="center" vertical="center" wrapText="1"/>
      <protection hidden="1"/>
    </xf>
    <xf numFmtId="0" fontId="26" fillId="0" borderId="0" xfId="41" applyFont="1" applyFill="1" applyAlignment="1" applyProtection="1">
      <alignment vertical="center"/>
      <protection hidden="1"/>
    </xf>
    <xf numFmtId="0" fontId="26" fillId="0" borderId="0" xfId="41" applyFont="1" applyFill="1" applyBorder="1" applyAlignment="1" applyProtection="1">
      <alignment vertical="center"/>
      <protection hidden="1"/>
    </xf>
    <xf numFmtId="0" fontId="27" fillId="0" borderId="0" xfId="41" applyFont="1" applyFill="1" applyAlignment="1" applyProtection="1">
      <alignment vertical="center"/>
      <protection hidden="1"/>
    </xf>
    <xf numFmtId="0" fontId="28" fillId="0" borderId="0" xfId="41" applyFont="1" applyFill="1" applyAlignment="1" applyProtection="1">
      <alignment vertical="center"/>
      <protection hidden="1"/>
    </xf>
    <xf numFmtId="0" fontId="28" fillId="0" borderId="0" xfId="41" applyFont="1" applyFill="1" applyAlignment="1" applyProtection="1">
      <alignment horizontal="left" vertical="center"/>
      <protection hidden="1"/>
    </xf>
    <xf numFmtId="37" fontId="26" fillId="0" borderId="0" xfId="41" applyNumberFormat="1" applyFont="1" applyFill="1" applyAlignment="1" applyProtection="1">
      <alignment vertical="center"/>
      <protection hidden="1"/>
    </xf>
    <xf numFmtId="0" fontId="28" fillId="0" borderId="0" xfId="41" applyFont="1" applyFill="1" applyAlignment="1" applyProtection="1">
      <alignment horizontal="center" vertical="center"/>
      <protection hidden="1"/>
    </xf>
    <xf numFmtId="37" fontId="26" fillId="24" borderId="10" xfId="41" applyNumberFormat="1" applyFont="1" applyFill="1" applyBorder="1" applyAlignment="1" applyProtection="1">
      <alignment horizontal="center" vertical="center"/>
      <protection hidden="1"/>
    </xf>
    <xf numFmtId="0" fontId="26" fillId="24" borderId="10" xfId="41" applyFont="1" applyFill="1" applyBorder="1" applyAlignment="1" applyProtection="1">
      <alignment horizontal="center" vertical="center"/>
      <protection hidden="1"/>
    </xf>
    <xf numFmtId="1" fontId="28" fillId="24" borderId="10" xfId="41" quotePrefix="1" applyNumberFormat="1" applyFont="1" applyFill="1" applyBorder="1" applyAlignment="1" applyProtection="1">
      <alignment horizontal="center" vertical="center"/>
      <protection locked="0"/>
    </xf>
    <xf numFmtId="1" fontId="28" fillId="24" borderId="10" xfId="41" quotePrefix="1" applyNumberFormat="1" applyFont="1" applyFill="1" applyBorder="1" applyAlignment="1" applyProtection="1">
      <alignment horizontal="center" vertical="center"/>
      <protection hidden="1"/>
    </xf>
    <xf numFmtId="0" fontId="28" fillId="0" borderId="0" xfId="41" applyFont="1" applyFill="1" applyBorder="1" applyAlignment="1" applyProtection="1">
      <alignment horizontal="left" vertical="center"/>
      <protection hidden="1"/>
    </xf>
    <xf numFmtId="37" fontId="26" fillId="0" borderId="0" xfId="41" applyNumberFormat="1" applyFont="1" applyFill="1" applyBorder="1" applyAlignment="1" applyProtection="1">
      <alignment vertical="center"/>
      <protection hidden="1"/>
    </xf>
    <xf numFmtId="0" fontId="28" fillId="0" borderId="0" xfId="41" applyFont="1" applyFill="1" applyBorder="1" applyAlignment="1" applyProtection="1">
      <alignment vertical="center"/>
      <protection hidden="1"/>
    </xf>
    <xf numFmtId="0" fontId="28" fillId="0" borderId="0" xfId="41" applyFont="1" applyFill="1" applyBorder="1" applyAlignment="1" applyProtection="1">
      <alignment horizontal="center" vertical="center"/>
      <protection hidden="1"/>
    </xf>
    <xf numFmtId="169" fontId="27" fillId="24" borderId="11" xfId="40" applyNumberFormat="1" applyFont="1" applyFill="1" applyBorder="1" applyAlignment="1" applyProtection="1">
      <alignment horizontal="center" vertical="center"/>
      <protection hidden="1"/>
    </xf>
    <xf numFmtId="169" fontId="27" fillId="24" borderId="12" xfId="40" applyNumberFormat="1" applyFont="1" applyFill="1" applyBorder="1" applyAlignment="1" applyProtection="1">
      <alignment horizontal="center" vertical="center"/>
      <protection hidden="1"/>
    </xf>
    <xf numFmtId="169" fontId="27" fillId="24" borderId="13" xfId="40" applyNumberFormat="1" applyFont="1" applyFill="1" applyBorder="1" applyAlignment="1" applyProtection="1">
      <alignment horizontal="center" vertical="center"/>
      <protection hidden="1"/>
    </xf>
    <xf numFmtId="169" fontId="28" fillId="25" borderId="14" xfId="40" applyNumberFormat="1" applyFont="1" applyFill="1" applyBorder="1" applyAlignment="1" applyProtection="1">
      <alignment horizontal="center" vertical="center"/>
      <protection hidden="1"/>
    </xf>
    <xf numFmtId="169" fontId="28" fillId="25" borderId="15" xfId="40" applyNumberFormat="1" applyFont="1" applyFill="1" applyBorder="1" applyAlignment="1" applyProtection="1">
      <alignment horizontal="center" vertical="center"/>
      <protection hidden="1"/>
    </xf>
    <xf numFmtId="9" fontId="29" fillId="0" borderId="0" xfId="45" applyFont="1" applyFill="1" applyAlignment="1" applyProtection="1">
      <alignment vertical="center"/>
      <protection hidden="1"/>
    </xf>
    <xf numFmtId="3" fontId="26" fillId="0" borderId="16" xfId="41" applyNumberFormat="1" applyFont="1" applyFill="1" applyBorder="1" applyAlignment="1" applyProtection="1">
      <alignment vertical="center"/>
      <protection hidden="1"/>
    </xf>
    <xf numFmtId="3" fontId="26" fillId="0" borderId="17" xfId="41" applyNumberFormat="1" applyFont="1" applyFill="1" applyBorder="1" applyAlignment="1" applyProtection="1">
      <alignment vertical="center"/>
      <protection hidden="1"/>
    </xf>
    <xf numFmtId="166" fontId="26" fillId="0" borderId="16" xfId="41" applyNumberFormat="1" applyFont="1" applyFill="1" applyBorder="1" applyAlignment="1" applyProtection="1">
      <alignment vertical="center"/>
      <protection locked="0"/>
    </xf>
    <xf numFmtId="166" fontId="26" fillId="0" borderId="16" xfId="41" applyNumberFormat="1" applyFont="1" applyFill="1" applyBorder="1" applyAlignment="1" applyProtection="1">
      <alignment vertical="center"/>
      <protection hidden="1"/>
    </xf>
    <xf numFmtId="166" fontId="26" fillId="0" borderId="17" xfId="41" applyNumberFormat="1" applyFont="1" applyFill="1" applyBorder="1" applyAlignment="1" applyProtection="1">
      <alignment vertical="center"/>
      <protection hidden="1"/>
    </xf>
    <xf numFmtId="3" fontId="26" fillId="0" borderId="0" xfId="41" applyNumberFormat="1" applyFont="1" applyFill="1" applyAlignment="1" applyProtection="1">
      <alignment vertical="center"/>
      <protection locked="0"/>
    </xf>
    <xf numFmtId="3" fontId="26" fillId="0" borderId="18" xfId="41" applyNumberFormat="1" applyFont="1" applyFill="1" applyBorder="1" applyAlignment="1" applyProtection="1">
      <alignment vertical="center"/>
      <protection locked="0"/>
    </xf>
    <xf numFmtId="166" fontId="26" fillId="0" borderId="0" xfId="41" applyNumberFormat="1" applyFont="1" applyFill="1" applyBorder="1" applyAlignment="1" applyProtection="1">
      <alignment vertical="center"/>
      <protection locked="0"/>
    </xf>
    <xf numFmtId="166" fontId="26" fillId="0" borderId="0" xfId="41" applyNumberFormat="1" applyFont="1" applyFill="1" applyBorder="1" applyAlignment="1" applyProtection="1">
      <alignment vertical="center"/>
      <protection hidden="1"/>
    </xf>
    <xf numFmtId="166" fontId="26" fillId="0" borderId="18" xfId="41" applyNumberFormat="1" applyFont="1" applyFill="1" applyBorder="1" applyAlignment="1" applyProtection="1">
      <alignment vertical="center"/>
      <protection hidden="1"/>
    </xf>
    <xf numFmtId="168" fontId="26" fillId="0" borderId="14" xfId="41" applyNumberFormat="1" applyFont="1" applyFill="1" applyBorder="1" applyAlignment="1" applyProtection="1">
      <alignment vertical="center"/>
      <protection locked="0"/>
    </xf>
    <xf numFmtId="168" fontId="26" fillId="0" borderId="19" xfId="41" applyNumberFormat="1" applyFont="1" applyFill="1" applyBorder="1" applyAlignment="1" applyProtection="1">
      <alignment vertical="center"/>
      <protection locked="0"/>
    </xf>
    <xf numFmtId="168" fontId="26" fillId="0" borderId="20" xfId="41" applyNumberFormat="1" applyFont="1" applyFill="1" applyBorder="1" applyAlignment="1" applyProtection="1">
      <alignment vertical="center"/>
      <protection locked="0"/>
    </xf>
    <xf numFmtId="166" fontId="26" fillId="0" borderId="21" xfId="41" applyNumberFormat="1" applyFont="1" applyFill="1" applyBorder="1" applyAlignment="1" applyProtection="1">
      <alignment vertical="center"/>
      <protection locked="0"/>
    </xf>
    <xf numFmtId="168" fontId="30" fillId="0" borderId="0" xfId="41" applyNumberFormat="1" applyFont="1" applyFill="1" applyAlignment="1" applyProtection="1">
      <alignment vertical="center"/>
    </xf>
    <xf numFmtId="166" fontId="26" fillId="0" borderId="21" xfId="41" applyNumberFormat="1" applyFont="1" applyFill="1" applyBorder="1" applyAlignment="1" applyProtection="1">
      <alignment horizontal="left" vertical="center"/>
      <protection hidden="1"/>
    </xf>
    <xf numFmtId="166" fontId="26" fillId="0" borderId="19" xfId="41" applyNumberFormat="1" applyFont="1" applyFill="1" applyBorder="1" applyAlignment="1" applyProtection="1">
      <alignment vertical="center"/>
      <protection locked="0"/>
    </xf>
    <xf numFmtId="3" fontId="26" fillId="0" borderId="0" xfId="41" applyNumberFormat="1" applyFont="1" applyFill="1" applyAlignment="1" applyProtection="1">
      <alignment vertical="center"/>
      <protection hidden="1"/>
    </xf>
    <xf numFmtId="3" fontId="26" fillId="0" borderId="18" xfId="41" applyNumberFormat="1" applyFont="1" applyFill="1" applyBorder="1" applyAlignment="1" applyProtection="1">
      <alignment vertical="center"/>
      <protection hidden="1"/>
    </xf>
    <xf numFmtId="166" fontId="26" fillId="0" borderId="12" xfId="41" applyNumberFormat="1" applyFont="1" applyFill="1" applyBorder="1" applyAlignment="1" applyProtection="1">
      <alignment vertical="center"/>
      <protection locked="0"/>
    </xf>
    <xf numFmtId="166" fontId="26" fillId="0" borderId="14" xfId="41" applyNumberFormat="1" applyFont="1" applyFill="1" applyBorder="1" applyAlignment="1" applyProtection="1">
      <alignment horizontal="left" vertical="center"/>
      <protection hidden="1"/>
    </xf>
    <xf numFmtId="166" fontId="28" fillId="0" borderId="22" xfId="41" applyNumberFormat="1" applyFont="1" applyFill="1" applyBorder="1" applyAlignment="1" applyProtection="1">
      <alignment vertical="center"/>
    </xf>
    <xf numFmtId="166" fontId="28" fillId="0" borderId="23" xfId="41" applyNumberFormat="1" applyFont="1" applyFill="1" applyBorder="1" applyAlignment="1" applyProtection="1">
      <alignment vertical="center"/>
    </xf>
    <xf numFmtId="3" fontId="30" fillId="0" borderId="0" xfId="41" applyNumberFormat="1" applyFont="1" applyFill="1" applyAlignment="1" applyProtection="1">
      <alignment vertical="center"/>
      <protection hidden="1"/>
    </xf>
    <xf numFmtId="3" fontId="30" fillId="0" borderId="18" xfId="41" applyNumberFormat="1" applyFont="1" applyFill="1" applyBorder="1" applyAlignment="1" applyProtection="1">
      <alignment vertical="center"/>
      <protection hidden="1"/>
    </xf>
    <xf numFmtId="168" fontId="28" fillId="0" borderId="22" xfId="41" applyNumberFormat="1" applyFont="1" applyFill="1" applyBorder="1" applyAlignment="1" applyProtection="1">
      <alignment vertical="center"/>
    </xf>
    <xf numFmtId="164" fontId="26" fillId="0" borderId="0" xfId="28" applyNumberFormat="1" applyFont="1" applyFill="1" applyBorder="1" applyAlignment="1" applyProtection="1">
      <alignment vertical="center"/>
      <protection hidden="1"/>
    </xf>
    <xf numFmtId="0" fontId="26" fillId="0" borderId="0" xfId="41" applyFont="1" applyFill="1" applyAlignment="1" applyProtection="1">
      <alignment horizontal="center" vertical="center"/>
      <protection hidden="1"/>
    </xf>
    <xf numFmtId="167" fontId="26" fillId="0" borderId="0" xfId="41" applyNumberFormat="1" applyFont="1" applyFill="1" applyBorder="1" applyAlignment="1" applyProtection="1">
      <alignment vertical="center"/>
    </xf>
    <xf numFmtId="167" fontId="26" fillId="0" borderId="18" xfId="41" applyNumberFormat="1" applyFont="1" applyFill="1" applyBorder="1" applyAlignment="1" applyProtection="1">
      <alignment vertical="center"/>
    </xf>
    <xf numFmtId="167" fontId="30" fillId="0" borderId="24" xfId="41" applyNumberFormat="1" applyFont="1" applyFill="1" applyBorder="1" applyAlignment="1" applyProtection="1">
      <alignment vertical="center"/>
    </xf>
    <xf numFmtId="167" fontId="30" fillId="0" borderId="25" xfId="41" applyNumberFormat="1" applyFont="1" applyFill="1" applyBorder="1" applyAlignment="1" applyProtection="1">
      <alignment vertical="center"/>
    </xf>
    <xf numFmtId="167" fontId="28" fillId="0" borderId="22" xfId="41" applyNumberFormat="1" applyFont="1" applyFill="1" applyBorder="1" applyAlignment="1" applyProtection="1">
      <alignment vertical="center"/>
    </xf>
    <xf numFmtId="167" fontId="28" fillId="0" borderId="23" xfId="41" applyNumberFormat="1" applyFont="1" applyFill="1" applyBorder="1" applyAlignment="1" applyProtection="1">
      <alignment vertical="center"/>
    </xf>
    <xf numFmtId="167" fontId="26" fillId="0" borderId="16" xfId="41" applyNumberFormat="1" applyFont="1" applyFill="1" applyBorder="1" applyAlignment="1" applyProtection="1">
      <alignment vertical="center"/>
    </xf>
    <xf numFmtId="167" fontId="26" fillId="0" borderId="17" xfId="41" applyNumberFormat="1" applyFont="1" applyFill="1" applyBorder="1" applyAlignment="1" applyProtection="1">
      <alignment vertical="center"/>
    </xf>
    <xf numFmtId="167" fontId="26" fillId="0" borderId="19" xfId="41" applyNumberFormat="1" applyFont="1" applyFill="1" applyBorder="1" applyAlignment="1" applyProtection="1">
      <alignment vertical="center"/>
    </xf>
    <xf numFmtId="167" fontId="26" fillId="0" borderId="20" xfId="41" applyNumberFormat="1" applyFont="1" applyFill="1" applyBorder="1" applyAlignment="1" applyProtection="1">
      <alignment vertical="center"/>
    </xf>
    <xf numFmtId="0" fontId="31" fillId="0" borderId="0" xfId="35" quotePrefix="1" applyFont="1" applyFill="1" applyAlignment="1" applyProtection="1">
      <alignment vertical="center"/>
      <protection hidden="1"/>
    </xf>
    <xf numFmtId="9" fontId="30" fillId="0" borderId="0" xfId="45" applyFont="1" applyFill="1" applyAlignment="1" applyProtection="1">
      <alignment vertical="center"/>
    </xf>
    <xf numFmtId="9" fontId="30" fillId="0" borderId="18" xfId="45" applyFont="1" applyFill="1" applyBorder="1" applyAlignment="1" applyProtection="1">
      <alignment vertical="center"/>
    </xf>
    <xf numFmtId="166" fontId="26" fillId="0" borderId="20" xfId="41" applyNumberFormat="1" applyFont="1" applyFill="1" applyBorder="1" applyAlignment="1" applyProtection="1">
      <alignment vertical="center"/>
      <protection locked="0"/>
    </xf>
    <xf numFmtId="166" fontId="26" fillId="0" borderId="19" xfId="41" applyNumberFormat="1" applyFont="1" applyFill="1" applyBorder="1" applyAlignment="1" applyProtection="1">
      <alignment horizontal="left" vertical="center"/>
      <protection hidden="1"/>
    </xf>
    <xf numFmtId="166" fontId="28" fillId="0" borderId="26" xfId="41" applyNumberFormat="1" applyFont="1" applyFill="1" applyBorder="1" applyAlignment="1" applyProtection="1">
      <alignment vertical="center"/>
    </xf>
    <xf numFmtId="168" fontId="28" fillId="0" borderId="0" xfId="41" applyNumberFormat="1" applyFont="1" applyFill="1" applyBorder="1" applyAlignment="1" applyProtection="1">
      <alignment vertical="center"/>
    </xf>
    <xf numFmtId="9" fontId="26" fillId="0" borderId="0" xfId="45" applyFont="1" applyFill="1" applyAlignment="1" applyProtection="1">
      <alignment vertical="center"/>
      <protection hidden="1"/>
    </xf>
    <xf numFmtId="9" fontId="33" fillId="0" borderId="0" xfId="45" applyFont="1" applyFill="1" applyAlignment="1" applyProtection="1">
      <alignment vertical="center"/>
    </xf>
    <xf numFmtId="9" fontId="33" fillId="0" borderId="0" xfId="45" applyFont="1" applyFill="1" applyAlignment="1" applyProtection="1">
      <alignment vertical="center"/>
      <protection hidden="1"/>
    </xf>
    <xf numFmtId="168" fontId="26" fillId="0" borderId="15" xfId="41" applyNumberFormat="1" applyFont="1" applyFill="1" applyBorder="1" applyAlignment="1" applyProtection="1">
      <alignment vertical="center"/>
      <protection locked="0"/>
    </xf>
    <xf numFmtId="9" fontId="33" fillId="0" borderId="18" xfId="45" applyFont="1" applyFill="1" applyBorder="1" applyAlignment="1" applyProtection="1">
      <alignment vertical="center"/>
    </xf>
    <xf numFmtId="0" fontId="25" fillId="24" borderId="12" xfId="0" applyFont="1" applyFill="1" applyBorder="1" applyAlignment="1" applyProtection="1">
      <alignment horizontal="left" vertical="center" wrapText="1"/>
    </xf>
    <xf numFmtId="0" fontId="25" fillId="24" borderId="21" xfId="0" applyFont="1" applyFill="1" applyBorder="1" applyAlignment="1" applyProtection="1">
      <alignment horizontal="left" vertical="center" wrapText="1"/>
    </xf>
    <xf numFmtId="0" fontId="25" fillId="24" borderId="14" xfId="0" applyFont="1" applyFill="1" applyBorder="1" applyAlignment="1" applyProtection="1">
      <alignment horizontal="left" vertical="center" wrapText="1"/>
    </xf>
    <xf numFmtId="0" fontId="26" fillId="0" borderId="0" xfId="41" applyFont="1" applyFill="1" applyAlignment="1" applyProtection="1">
      <alignment vertical="center" wrapText="1"/>
      <protection hidden="1"/>
    </xf>
    <xf numFmtId="0" fontId="27" fillId="0" borderId="0" xfId="41" applyFont="1" applyFill="1" applyAlignment="1" applyProtection="1">
      <alignment vertical="center" wrapText="1"/>
      <protection hidden="1"/>
    </xf>
    <xf numFmtId="0" fontId="28" fillId="0" borderId="0" xfId="41" applyFont="1" applyFill="1" applyAlignment="1" applyProtection="1">
      <alignment horizontal="left" vertical="center" wrapText="1"/>
      <protection hidden="1"/>
    </xf>
    <xf numFmtId="0" fontId="28" fillId="24" borderId="12" xfId="41" applyFont="1" applyFill="1" applyBorder="1" applyAlignment="1" applyProtection="1">
      <alignment horizontal="left" vertical="center" wrapText="1"/>
      <protection hidden="1"/>
    </xf>
    <xf numFmtId="0" fontId="28" fillId="24" borderId="14" xfId="41" applyFont="1" applyFill="1" applyBorder="1" applyAlignment="1" applyProtection="1">
      <alignment horizontal="right" vertical="center" wrapText="1"/>
      <protection hidden="1"/>
    </xf>
    <xf numFmtId="0" fontId="28" fillId="0" borderId="0" xfId="41" applyFont="1" applyFill="1" applyBorder="1" applyAlignment="1" applyProtection="1">
      <alignment horizontal="left" vertical="center" wrapText="1"/>
      <protection hidden="1"/>
    </xf>
    <xf numFmtId="0" fontId="28" fillId="0" borderId="0" xfId="42" applyFont="1" applyFill="1" applyBorder="1" applyAlignment="1" applyProtection="1">
      <alignment vertical="center" wrapText="1"/>
      <protection hidden="1"/>
    </xf>
    <xf numFmtId="0" fontId="27" fillId="24" borderId="10" xfId="41" applyFont="1" applyFill="1" applyBorder="1" applyAlignment="1" applyProtection="1">
      <alignment horizontal="left" vertical="center" wrapText="1"/>
      <protection hidden="1"/>
    </xf>
    <xf numFmtId="0" fontId="28" fillId="0" borderId="13" xfId="41" applyFont="1" applyFill="1" applyBorder="1" applyAlignment="1" applyProtection="1">
      <alignment vertical="center" wrapText="1"/>
      <protection locked="0"/>
    </xf>
    <xf numFmtId="0" fontId="26" fillId="0" borderId="31" xfId="41" applyFont="1" applyFill="1" applyBorder="1" applyAlignment="1" applyProtection="1">
      <alignment horizontal="left" vertical="center" wrapText="1" indent="1"/>
      <protection hidden="1"/>
    </xf>
    <xf numFmtId="0" fontId="26" fillId="0" borderId="15" xfId="41" applyFont="1" applyFill="1" applyBorder="1" applyAlignment="1" applyProtection="1">
      <alignment horizontal="left" vertical="center" wrapText="1" indent="1"/>
      <protection hidden="1"/>
    </xf>
    <xf numFmtId="0" fontId="30" fillId="0" borderId="31" xfId="41" applyFont="1" applyFill="1" applyBorder="1" applyAlignment="1" applyProtection="1">
      <alignment horizontal="right" vertical="center" wrapText="1"/>
      <protection hidden="1"/>
    </xf>
    <xf numFmtId="0" fontId="33" fillId="0" borderId="31" xfId="41" applyFont="1" applyFill="1" applyBorder="1" applyAlignment="1" applyProtection="1">
      <alignment horizontal="right" vertical="center" wrapText="1"/>
      <protection hidden="1"/>
    </xf>
    <xf numFmtId="0" fontId="28" fillId="0" borderId="31" xfId="41" applyFont="1" applyFill="1" applyBorder="1" applyAlignment="1" applyProtection="1">
      <alignment vertical="center" wrapText="1"/>
      <protection locked="0"/>
    </xf>
    <xf numFmtId="0" fontId="28" fillId="0" borderId="31" xfId="41" applyFont="1" applyFill="1" applyBorder="1" applyAlignment="1" applyProtection="1">
      <alignment horizontal="left" vertical="center" wrapText="1"/>
      <protection hidden="1"/>
    </xf>
    <xf numFmtId="0" fontId="30" fillId="0" borderId="31" xfId="41" applyFont="1" applyFill="1" applyBorder="1" applyAlignment="1" applyProtection="1">
      <alignment horizontal="left" vertical="center" wrapText="1" indent="2"/>
      <protection hidden="1"/>
    </xf>
    <xf numFmtId="0" fontId="28" fillId="0" borderId="33" xfId="41" applyFont="1" applyFill="1" applyBorder="1" applyAlignment="1" applyProtection="1">
      <alignment horizontal="left" vertical="center" wrapText="1"/>
      <protection hidden="1"/>
    </xf>
    <xf numFmtId="0" fontId="26" fillId="0" borderId="0" xfId="41" applyFont="1" applyFill="1" applyBorder="1" applyAlignment="1" applyProtection="1">
      <alignment vertical="center" wrapText="1"/>
      <protection hidden="1"/>
    </xf>
    <xf numFmtId="0" fontId="28" fillId="25" borderId="0" xfId="41" applyFont="1" applyFill="1" applyBorder="1" applyAlignment="1" applyProtection="1">
      <alignment vertical="center" wrapText="1"/>
      <protection hidden="1"/>
    </xf>
    <xf numFmtId="0" fontId="26" fillId="0" borderId="13" xfId="41" applyFont="1" applyFill="1" applyBorder="1" applyAlignment="1" applyProtection="1">
      <alignment vertical="center" wrapText="1"/>
      <protection hidden="1"/>
    </xf>
    <xf numFmtId="0" fontId="26" fillId="0" borderId="31" xfId="41" applyFont="1" applyFill="1" applyBorder="1" applyAlignment="1" applyProtection="1">
      <alignment vertical="center" wrapText="1"/>
      <protection hidden="1"/>
    </xf>
    <xf numFmtId="0" fontId="28" fillId="0" borderId="33" xfId="41" applyFont="1" applyFill="1" applyBorder="1" applyAlignment="1" applyProtection="1">
      <alignment vertical="center" wrapText="1"/>
      <protection hidden="1"/>
    </xf>
    <xf numFmtId="0" fontId="28" fillId="0" borderId="0" xfId="41" applyFont="1" applyFill="1" applyAlignment="1" applyProtection="1">
      <alignment vertical="center" wrapText="1"/>
      <protection hidden="1"/>
    </xf>
    <xf numFmtId="0" fontId="26" fillId="0" borderId="13" xfId="41" applyFont="1" applyFill="1" applyBorder="1" applyAlignment="1" applyProtection="1">
      <alignment horizontal="left" vertical="center" wrapText="1" indent="1"/>
      <protection hidden="1"/>
    </xf>
    <xf numFmtId="0" fontId="30" fillId="0" borderId="10" xfId="41" applyFont="1" applyFill="1" applyBorder="1" applyAlignment="1" applyProtection="1">
      <alignment horizontal="center" vertical="center" wrapText="1"/>
      <protection hidden="1"/>
    </xf>
    <xf numFmtId="0" fontId="28" fillId="0" borderId="15" xfId="41" applyFont="1" applyFill="1" applyBorder="1" applyAlignment="1" applyProtection="1">
      <alignment horizontal="center" vertical="center" wrapText="1"/>
      <protection hidden="1"/>
    </xf>
    <xf numFmtId="0" fontId="28" fillId="0" borderId="31" xfId="41" applyFont="1" applyFill="1" applyBorder="1" applyAlignment="1" applyProtection="1">
      <alignment horizontal="center" vertical="center" wrapText="1"/>
      <protection hidden="1"/>
    </xf>
    <xf numFmtId="0" fontId="32" fillId="0" borderId="0" xfId="41" applyFont="1" applyFill="1" applyAlignment="1" applyProtection="1">
      <alignment vertical="center"/>
      <protection hidden="1"/>
    </xf>
    <xf numFmtId="0" fontId="28" fillId="24" borderId="19" xfId="41" applyFont="1" applyFill="1" applyBorder="1" applyAlignment="1" applyProtection="1">
      <alignment vertical="center" wrapText="1"/>
      <protection hidden="1"/>
    </xf>
    <xf numFmtId="169" fontId="28" fillId="24" borderId="11" xfId="40" applyNumberFormat="1" applyFont="1" applyFill="1" applyBorder="1" applyAlignment="1" applyProtection="1">
      <alignment horizontal="center" vertical="center"/>
      <protection hidden="1"/>
    </xf>
    <xf numFmtId="169" fontId="28" fillId="24" borderId="24" xfId="40" applyNumberFormat="1" applyFont="1" applyFill="1" applyBorder="1" applyAlignment="1" applyProtection="1">
      <alignment horizontal="center" vertical="center"/>
      <protection hidden="1"/>
    </xf>
    <xf numFmtId="169" fontId="28" fillId="24" borderId="25" xfId="40" applyNumberFormat="1" applyFont="1" applyFill="1" applyBorder="1" applyAlignment="1" applyProtection="1">
      <alignment horizontal="center" vertical="center"/>
      <protection hidden="1"/>
    </xf>
    <xf numFmtId="0" fontId="36" fillId="0" borderId="0" xfId="39" applyFont="1" applyFill="1" applyAlignment="1">
      <alignment vertical="center"/>
    </xf>
    <xf numFmtId="41" fontId="36" fillId="0" borderId="0" xfId="51" applyFont="1" applyFill="1" applyAlignment="1">
      <alignment vertical="center"/>
    </xf>
    <xf numFmtId="0" fontId="36" fillId="0" borderId="0" xfId="39" applyFont="1" applyAlignment="1">
      <alignment vertical="center"/>
    </xf>
    <xf numFmtId="49" fontId="36" fillId="0" borderId="0" xfId="39" applyNumberFormat="1" applyFont="1" applyAlignment="1">
      <alignment vertical="center"/>
    </xf>
    <xf numFmtId="3" fontId="36" fillId="0" borderId="0" xfId="39" applyNumberFormat="1" applyFont="1" applyAlignment="1">
      <alignment vertical="center"/>
    </xf>
    <xf numFmtId="9" fontId="36" fillId="0" borderId="0" xfId="45" applyFont="1" applyAlignment="1">
      <alignment vertical="center"/>
    </xf>
    <xf numFmtId="166" fontId="36" fillId="0" borderId="0" xfId="45" applyNumberFormat="1" applyFont="1" applyAlignment="1">
      <alignment vertical="center"/>
    </xf>
    <xf numFmtId="0" fontId="26" fillId="0" borderId="0" xfId="39" applyFont="1" applyFill="1" applyAlignment="1">
      <alignment vertical="center"/>
    </xf>
    <xf numFmtId="41" fontId="26" fillId="0" borderId="0" xfId="51" applyFont="1" applyFill="1" applyAlignment="1">
      <alignment vertical="center"/>
    </xf>
    <xf numFmtId="0" fontId="28" fillId="0" borderId="0" xfId="39" applyFont="1" applyFill="1" applyBorder="1" applyAlignment="1">
      <alignment horizontal="center" vertical="center"/>
    </xf>
    <xf numFmtId="49" fontId="28" fillId="0" borderId="0" xfId="39" applyNumberFormat="1" applyFont="1" applyFill="1" applyBorder="1" applyAlignment="1">
      <alignment horizontal="right" vertical="center"/>
    </xf>
    <xf numFmtId="0" fontId="26" fillId="26" borderId="0" xfId="39" applyFont="1" applyFill="1" applyBorder="1" applyAlignment="1">
      <alignment vertical="center"/>
    </xf>
    <xf numFmtId="3" fontId="28" fillId="0" borderId="0" xfId="39" applyNumberFormat="1" applyFont="1" applyFill="1" applyBorder="1" applyAlignment="1">
      <alignment horizontal="center" vertical="center"/>
    </xf>
    <xf numFmtId="9" fontId="28" fillId="0" borderId="0" xfId="45" applyFont="1" applyFill="1" applyBorder="1" applyAlignment="1">
      <alignment horizontal="center" vertical="center"/>
    </xf>
    <xf numFmtId="166" fontId="28" fillId="0" borderId="0" xfId="45" applyNumberFormat="1" applyFont="1" applyFill="1" applyBorder="1" applyAlignment="1">
      <alignment horizontal="center" vertical="center"/>
    </xf>
    <xf numFmtId="3" fontId="26" fillId="0" borderId="0" xfId="39" applyNumberFormat="1" applyFont="1" applyFill="1" applyBorder="1" applyAlignment="1">
      <alignment horizontal="center" vertical="center"/>
    </xf>
    <xf numFmtId="41" fontId="26" fillId="0" borderId="0" xfId="51" applyFont="1" applyFill="1" applyBorder="1" applyAlignment="1">
      <alignment vertical="center"/>
    </xf>
    <xf numFmtId="0" fontId="26" fillId="0" borderId="0" xfId="39" applyFont="1" applyFill="1" applyBorder="1" applyAlignment="1">
      <alignment vertical="center"/>
    </xf>
    <xf numFmtId="0" fontId="28" fillId="0" borderId="19" xfId="39" applyFont="1" applyFill="1" applyBorder="1" applyAlignment="1">
      <alignment horizontal="center" vertical="center"/>
    </xf>
    <xf numFmtId="49" fontId="28" fillId="0" borderId="19" xfId="39" applyNumberFormat="1" applyFont="1" applyFill="1" applyBorder="1" applyAlignment="1">
      <alignment horizontal="center" vertical="center"/>
    </xf>
    <xf numFmtId="3" fontId="28" fillId="0" borderId="19" xfId="39" applyNumberFormat="1" applyFont="1" applyFill="1" applyBorder="1" applyAlignment="1">
      <alignment horizontal="center" vertical="center"/>
    </xf>
    <xf numFmtId="9" fontId="28" fillId="0" borderId="19" xfId="45" applyFont="1" applyFill="1" applyBorder="1" applyAlignment="1">
      <alignment horizontal="center" vertical="center"/>
    </xf>
    <xf numFmtId="166" fontId="28" fillId="0" borderId="19" xfId="45" applyNumberFormat="1" applyFont="1" applyFill="1" applyBorder="1" applyAlignment="1">
      <alignment horizontal="center" vertical="center"/>
    </xf>
    <xf numFmtId="3" fontId="26" fillId="0" borderId="19" xfId="39" applyNumberFormat="1" applyFont="1" applyFill="1" applyBorder="1" applyAlignment="1">
      <alignment horizontal="center" vertical="center"/>
    </xf>
    <xf numFmtId="0" fontId="25" fillId="24" borderId="10" xfId="39" applyFont="1" applyFill="1" applyBorder="1" applyAlignment="1">
      <alignment horizontal="center" vertical="center"/>
    </xf>
    <xf numFmtId="49" fontId="25" fillId="24" borderId="10" xfId="39" applyNumberFormat="1" applyFont="1" applyFill="1" applyBorder="1" applyAlignment="1">
      <alignment horizontal="center" vertical="center" wrapText="1"/>
    </xf>
    <xf numFmtId="3" fontId="25" fillId="24" borderId="10" xfId="39" applyNumberFormat="1" applyFont="1" applyFill="1" applyBorder="1" applyAlignment="1">
      <alignment horizontal="center" vertical="center" wrapText="1"/>
    </xf>
    <xf numFmtId="9" fontId="25" fillId="24" borderId="10" xfId="45" applyFont="1" applyFill="1" applyBorder="1" applyAlignment="1">
      <alignment horizontal="center" vertical="center" wrapText="1"/>
    </xf>
    <xf numFmtId="166" fontId="25" fillId="24" borderId="10" xfId="45" applyNumberFormat="1" applyFont="1" applyFill="1" applyBorder="1" applyAlignment="1">
      <alignment horizontal="center" vertical="center" wrapText="1"/>
    </xf>
    <xf numFmtId="0" fontId="28" fillId="29" borderId="30" xfId="39" applyFont="1" applyFill="1" applyBorder="1" applyAlignment="1">
      <alignment horizontal="center" vertical="center"/>
    </xf>
    <xf numFmtId="0" fontId="28" fillId="29" borderId="30" xfId="39" applyFont="1" applyFill="1" applyBorder="1" applyAlignment="1">
      <alignment vertical="center"/>
    </xf>
    <xf numFmtId="49" fontId="28" fillId="29" borderId="30" xfId="39" applyNumberFormat="1" applyFont="1" applyFill="1" applyBorder="1" applyAlignment="1">
      <alignment vertical="center"/>
    </xf>
    <xf numFmtId="3" fontId="28" fillId="26" borderId="30" xfId="39" applyNumberFormat="1" applyFont="1" applyFill="1" applyBorder="1" applyAlignment="1">
      <alignment vertical="center"/>
    </xf>
    <xf numFmtId="3" fontId="28" fillId="29" borderId="30" xfId="49" applyNumberFormat="1" applyFont="1" applyFill="1" applyBorder="1" applyAlignment="1">
      <alignment vertical="center"/>
    </xf>
    <xf numFmtId="9" fontId="28" fillId="29" borderId="30" xfId="45" applyFont="1" applyFill="1" applyBorder="1" applyAlignment="1">
      <alignment vertical="center"/>
    </xf>
    <xf numFmtId="166" fontId="28" fillId="29" borderId="30" xfId="45" applyNumberFormat="1" applyFont="1" applyFill="1" applyBorder="1" applyAlignment="1">
      <alignment vertical="center"/>
    </xf>
    <xf numFmtId="0" fontId="28" fillId="0" borderId="31" xfId="39" applyFont="1" applyFill="1" applyBorder="1" applyAlignment="1">
      <alignment horizontal="center" vertical="center"/>
    </xf>
    <xf numFmtId="0" fontId="28" fillId="0" borderId="31" xfId="39" applyFont="1" applyFill="1" applyBorder="1" applyAlignment="1">
      <alignment vertical="center"/>
    </xf>
    <xf numFmtId="49" fontId="28" fillId="0" borderId="31" xfId="39" applyNumberFormat="1" applyFont="1" applyFill="1" applyBorder="1" applyAlignment="1">
      <alignment vertical="center"/>
    </xf>
    <xf numFmtId="3" fontId="28" fillId="0" borderId="31" xfId="39" applyNumberFormat="1" applyFont="1" applyFill="1" applyBorder="1" applyAlignment="1">
      <alignment vertical="center"/>
    </xf>
    <xf numFmtId="3" fontId="28" fillId="0" borderId="31" xfId="49" applyNumberFormat="1" applyFont="1" applyFill="1" applyBorder="1" applyAlignment="1">
      <alignment vertical="center"/>
    </xf>
    <xf numFmtId="9" fontId="28" fillId="0" borderId="31" xfId="45" applyFont="1" applyFill="1" applyBorder="1" applyAlignment="1">
      <alignment vertical="center"/>
    </xf>
    <xf numFmtId="166" fontId="28" fillId="0" borderId="31" xfId="45" applyNumberFormat="1" applyFont="1" applyFill="1" applyBorder="1" applyAlignment="1">
      <alignment vertical="center"/>
    </xf>
    <xf numFmtId="3" fontId="28" fillId="29" borderId="30" xfId="39" applyNumberFormat="1" applyFont="1" applyFill="1" applyBorder="1" applyAlignment="1">
      <alignment vertical="center"/>
    </xf>
    <xf numFmtId="0" fontId="26" fillId="27" borderId="27" xfId="39" applyFont="1" applyFill="1" applyBorder="1" applyAlignment="1">
      <alignment horizontal="center" vertical="center"/>
    </xf>
    <xf numFmtId="0" fontId="28" fillId="27" borderId="27" xfId="39" applyFont="1" applyFill="1" applyBorder="1" applyAlignment="1">
      <alignment vertical="center"/>
    </xf>
    <xf numFmtId="49" fontId="28" fillId="27" borderId="27" xfId="39" applyNumberFormat="1" applyFont="1" applyFill="1" applyBorder="1" applyAlignment="1">
      <alignment vertical="center"/>
    </xf>
    <xf numFmtId="3" fontId="28" fillId="27" borderId="27" xfId="39" applyNumberFormat="1" applyFont="1" applyFill="1" applyBorder="1" applyAlignment="1">
      <alignment vertical="center"/>
    </xf>
    <xf numFmtId="3" fontId="28" fillId="27" borderId="27" xfId="49" applyNumberFormat="1" applyFont="1" applyFill="1" applyBorder="1" applyAlignment="1">
      <alignment vertical="center"/>
    </xf>
    <xf numFmtId="9" fontId="28" fillId="27" borderId="27" xfId="45" applyFont="1" applyFill="1" applyBorder="1" applyAlignment="1">
      <alignment vertical="center"/>
    </xf>
    <xf numFmtId="166" fontId="28" fillId="27" borderId="27" xfId="45" applyNumberFormat="1" applyFont="1" applyFill="1" applyBorder="1" applyAlignment="1">
      <alignment vertical="center"/>
    </xf>
    <xf numFmtId="0" fontId="36" fillId="0" borderId="27" xfId="39" applyFont="1" applyBorder="1" applyAlignment="1">
      <alignment horizontal="center" vertical="center"/>
    </xf>
    <xf numFmtId="49" fontId="36" fillId="0" borderId="27" xfId="39" applyNumberFormat="1" applyFont="1" applyBorder="1" applyAlignment="1">
      <alignment vertical="center"/>
    </xf>
    <xf numFmtId="3" fontId="36" fillId="0" borderId="27" xfId="39" applyNumberFormat="1" applyFont="1" applyBorder="1" applyAlignment="1">
      <alignment vertical="center"/>
    </xf>
    <xf numFmtId="3" fontId="25" fillId="0" borderId="27" xfId="49" applyNumberFormat="1" applyFont="1" applyFill="1" applyBorder="1" applyAlignment="1">
      <alignment vertical="center"/>
    </xf>
    <xf numFmtId="9" fontId="25" fillId="0" borderId="27" xfId="45" applyFont="1" applyFill="1" applyBorder="1" applyAlignment="1">
      <alignment vertical="center"/>
    </xf>
    <xf numFmtId="166" fontId="36" fillId="0" borderId="27" xfId="45" applyNumberFormat="1" applyFont="1" applyFill="1" applyBorder="1" applyAlignment="1">
      <alignment vertical="center"/>
    </xf>
    <xf numFmtId="3" fontId="36" fillId="0" borderId="27" xfId="49" applyNumberFormat="1" applyFont="1" applyFill="1" applyBorder="1" applyAlignment="1">
      <alignment vertical="center"/>
    </xf>
    <xf numFmtId="41" fontId="25" fillId="0" borderId="0" xfId="51" applyFont="1" applyFill="1" applyAlignment="1">
      <alignment vertical="center"/>
    </xf>
    <xf numFmtId="49" fontId="37" fillId="0" borderId="27" xfId="39" applyNumberFormat="1" applyFont="1" applyBorder="1" applyAlignment="1">
      <alignment vertical="center"/>
    </xf>
    <xf numFmtId="3" fontId="37" fillId="0" borderId="27" xfId="39" applyNumberFormat="1" applyFont="1" applyBorder="1" applyAlignment="1">
      <alignment vertical="center"/>
    </xf>
    <xf numFmtId="3" fontId="37" fillId="0" borderId="27" xfId="49" applyNumberFormat="1" applyFont="1" applyFill="1" applyBorder="1" applyAlignment="1">
      <alignment horizontal="left" vertical="center"/>
    </xf>
    <xf numFmtId="9" fontId="36" fillId="0" borderId="27" xfId="45" applyFont="1" applyFill="1" applyBorder="1" applyAlignment="1">
      <alignment vertical="center"/>
    </xf>
    <xf numFmtId="3" fontId="36" fillId="0" borderId="27" xfId="49" applyNumberFormat="1" applyFont="1" applyFill="1" applyBorder="1" applyAlignment="1">
      <alignment horizontal="left" vertical="center"/>
    </xf>
    <xf numFmtId="0" fontId="36" fillId="0" borderId="28" xfId="39" applyFont="1" applyBorder="1" applyAlignment="1">
      <alignment horizontal="center" vertical="center"/>
    </xf>
    <xf numFmtId="49" fontId="36" fillId="0" borderId="28" xfId="39" applyNumberFormat="1" applyFont="1" applyBorder="1" applyAlignment="1">
      <alignment vertical="center"/>
    </xf>
    <xf numFmtId="3" fontId="36" fillId="0" borderId="28" xfId="39" applyNumberFormat="1" applyFont="1" applyBorder="1" applyAlignment="1">
      <alignment vertical="center"/>
    </xf>
    <xf numFmtId="3" fontId="37" fillId="0" borderId="28" xfId="49" applyNumberFormat="1" applyFont="1" applyFill="1" applyBorder="1" applyAlignment="1">
      <alignment horizontal="left" vertical="center"/>
    </xf>
    <xf numFmtId="9" fontId="36" fillId="0" borderId="28" xfId="45" applyFont="1" applyFill="1" applyBorder="1" applyAlignment="1">
      <alignment vertical="center"/>
    </xf>
    <xf numFmtId="3" fontId="36" fillId="0" borderId="28" xfId="49" applyNumberFormat="1" applyFont="1" applyFill="1" applyBorder="1" applyAlignment="1">
      <alignment horizontal="left" vertical="center"/>
    </xf>
    <xf numFmtId="166" fontId="36" fillId="0" borderId="28" xfId="45" applyNumberFormat="1" applyFont="1" applyFill="1" applyBorder="1" applyAlignment="1">
      <alignment vertical="center"/>
    </xf>
    <xf numFmtId="0" fontId="36" fillId="0" borderId="32" xfId="39" applyFont="1" applyBorder="1" applyAlignment="1">
      <alignment horizontal="center" vertical="center"/>
    </xf>
    <xf numFmtId="49" fontId="36" fillId="0" borderId="32" xfId="39" applyNumberFormat="1" applyFont="1" applyBorder="1" applyAlignment="1">
      <alignment vertical="center"/>
    </xf>
    <xf numFmtId="3" fontId="36" fillId="0" borderId="32" xfId="39" applyNumberFormat="1" applyFont="1" applyBorder="1" applyAlignment="1">
      <alignment vertical="center"/>
    </xf>
    <xf numFmtId="3" fontId="36" fillId="0" borderId="32" xfId="49" applyNumberFormat="1" applyFont="1" applyFill="1" applyBorder="1" applyAlignment="1">
      <alignment vertical="center"/>
    </xf>
    <xf numFmtId="9" fontId="36" fillId="0" borderId="32" xfId="45" applyFont="1" applyFill="1" applyBorder="1" applyAlignment="1">
      <alignment vertical="center"/>
    </xf>
    <xf numFmtId="3" fontId="25" fillId="0" borderId="32" xfId="49" applyNumberFormat="1" applyFont="1" applyFill="1" applyBorder="1" applyAlignment="1">
      <alignment vertical="center"/>
    </xf>
    <xf numFmtId="166" fontId="36" fillId="0" borderId="32" xfId="45" applyNumberFormat="1" applyFont="1" applyFill="1" applyBorder="1" applyAlignment="1">
      <alignment vertical="center"/>
    </xf>
    <xf numFmtId="0" fontId="28" fillId="27" borderId="27" xfId="39" applyFont="1" applyFill="1" applyBorder="1" applyAlignment="1">
      <alignment horizontal="center" vertical="center"/>
    </xf>
    <xf numFmtId="0" fontId="38" fillId="30" borderId="27" xfId="39" applyFont="1" applyFill="1" applyBorder="1" applyAlignment="1">
      <alignment horizontal="center" vertical="center"/>
    </xf>
    <xf numFmtId="0" fontId="38" fillId="30" borderId="27" xfId="39" applyFont="1" applyFill="1" applyBorder="1" applyAlignment="1">
      <alignment vertical="center"/>
    </xf>
    <xf numFmtId="49" fontId="38" fillId="30" borderId="27" xfId="39" applyNumberFormat="1" applyFont="1" applyFill="1" applyBorder="1" applyAlignment="1">
      <alignment vertical="center"/>
    </xf>
    <xf numFmtId="3" fontId="38" fillId="30" borderId="27" xfId="39" applyNumberFormat="1" applyFont="1" applyFill="1" applyBorder="1" applyAlignment="1">
      <alignment vertical="center"/>
    </xf>
    <xf numFmtId="3" fontId="38" fillId="30" borderId="27" xfId="49" applyNumberFormat="1" applyFont="1" applyFill="1" applyBorder="1" applyAlignment="1">
      <alignment vertical="center"/>
    </xf>
    <xf numFmtId="9" fontId="38" fillId="30" borderId="27" xfId="45" applyFont="1" applyFill="1" applyBorder="1" applyAlignment="1">
      <alignment vertical="center"/>
    </xf>
    <xf numFmtId="166" fontId="38" fillId="30" borderId="27" xfId="45" applyNumberFormat="1" applyFont="1" applyFill="1" applyBorder="1" applyAlignment="1">
      <alignment vertical="center"/>
    </xf>
    <xf numFmtId="41" fontId="38" fillId="0" borderId="0" xfId="51" applyFont="1" applyFill="1" applyAlignment="1">
      <alignment vertical="center"/>
    </xf>
    <xf numFmtId="0" fontId="38" fillId="0" borderId="0" xfId="39" applyFont="1" applyFill="1" applyAlignment="1">
      <alignment vertical="center"/>
    </xf>
    <xf numFmtId="0" fontId="36" fillId="0" borderId="27" xfId="39" quotePrefix="1" applyFont="1" applyBorder="1" applyAlignment="1">
      <alignment horizontal="center" vertical="center"/>
    </xf>
    <xf numFmtId="0" fontId="36" fillId="0" borderId="27" xfId="39" applyFont="1" applyBorder="1" applyAlignment="1">
      <alignment vertical="center"/>
    </xf>
    <xf numFmtId="0" fontId="36" fillId="0" borderId="27" xfId="39" applyFont="1" applyBorder="1" applyAlignment="1">
      <alignment vertical="center" wrapText="1"/>
    </xf>
    <xf numFmtId="0" fontId="30" fillId="30" borderId="27" xfId="39" applyFont="1" applyFill="1" applyBorder="1" applyAlignment="1">
      <alignment horizontal="center" vertical="center"/>
    </xf>
    <xf numFmtId="0" fontId="30" fillId="30" borderId="27" xfId="39" applyFont="1" applyFill="1" applyBorder="1" applyAlignment="1">
      <alignment vertical="center"/>
    </xf>
    <xf numFmtId="49" fontId="30" fillId="30" borderId="27" xfId="39" applyNumberFormat="1" applyFont="1" applyFill="1" applyBorder="1" applyAlignment="1">
      <alignment vertical="center"/>
    </xf>
    <xf numFmtId="3" fontId="30" fillId="30" borderId="27" xfId="39" applyNumberFormat="1" applyFont="1" applyFill="1" applyBorder="1" applyAlignment="1">
      <alignment vertical="center"/>
    </xf>
    <xf numFmtId="3" fontId="30" fillId="30" borderId="27" xfId="49" applyNumberFormat="1" applyFont="1" applyFill="1" applyBorder="1" applyAlignment="1">
      <alignment vertical="center"/>
    </xf>
    <xf numFmtId="9" fontId="30" fillId="30" borderId="27" xfId="45" applyFont="1" applyFill="1" applyBorder="1" applyAlignment="1">
      <alignment vertical="center"/>
    </xf>
    <xf numFmtId="166" fontId="30" fillId="30" borderId="27" xfId="45" applyNumberFormat="1" applyFont="1" applyFill="1" applyBorder="1" applyAlignment="1">
      <alignment vertical="center"/>
    </xf>
    <xf numFmtId="0" fontId="25" fillId="0" borderId="27" xfId="39" quotePrefix="1" applyFont="1" applyBorder="1" applyAlignment="1">
      <alignment horizontal="center" vertical="center"/>
    </xf>
    <xf numFmtId="0" fontId="25" fillId="0" borderId="27" xfId="39" applyFont="1" applyBorder="1" applyAlignment="1">
      <alignment vertical="center"/>
    </xf>
    <xf numFmtId="49" fontId="25" fillId="0" borderId="27" xfId="39" applyNumberFormat="1" applyFont="1" applyBorder="1" applyAlignment="1">
      <alignment vertical="center"/>
    </xf>
    <xf numFmtId="3" fontId="25" fillId="0" borderId="27" xfId="39" applyNumberFormat="1" applyFont="1" applyBorder="1" applyAlignment="1">
      <alignment vertical="center"/>
    </xf>
    <xf numFmtId="3" fontId="25" fillId="0" borderId="27" xfId="49" applyNumberFormat="1" applyFont="1" applyBorder="1" applyAlignment="1">
      <alignment vertical="center"/>
    </xf>
    <xf numFmtId="9" fontId="25" fillId="0" borderId="27" xfId="45" applyFont="1" applyBorder="1" applyAlignment="1">
      <alignment vertical="center"/>
    </xf>
    <xf numFmtId="166" fontId="25" fillId="0" borderId="27" xfId="45" applyNumberFormat="1" applyFont="1" applyBorder="1" applyAlignment="1">
      <alignment vertical="center"/>
    </xf>
    <xf numFmtId="0" fontId="25" fillId="0" borderId="27" xfId="39" applyFont="1" applyBorder="1" applyAlignment="1">
      <alignment horizontal="center" vertical="center"/>
    </xf>
    <xf numFmtId="166" fontId="25" fillId="0" borderId="27" xfId="45" applyNumberFormat="1" applyFont="1" applyFill="1" applyBorder="1" applyAlignment="1">
      <alignment vertical="center"/>
    </xf>
    <xf numFmtId="0" fontId="36" fillId="0" borderId="28" xfId="39" quotePrefix="1" applyFont="1" applyBorder="1" applyAlignment="1">
      <alignment horizontal="center" vertical="center"/>
    </xf>
    <xf numFmtId="0" fontId="38" fillId="0" borderId="29" xfId="39" applyFont="1" applyFill="1" applyBorder="1" applyAlignment="1">
      <alignment vertical="center"/>
    </xf>
    <xf numFmtId="0" fontId="38" fillId="0" borderId="27" xfId="39" applyFont="1" applyFill="1" applyBorder="1" applyAlignment="1">
      <alignment horizontal="center" vertical="center"/>
    </xf>
    <xf numFmtId="0" fontId="37" fillId="0" borderId="27" xfId="39" applyFont="1" applyFill="1" applyBorder="1" applyAlignment="1">
      <alignment vertical="center"/>
    </xf>
    <xf numFmtId="49" fontId="37" fillId="0" borderId="27" xfId="39" applyNumberFormat="1" applyFont="1" applyFill="1" applyBorder="1" applyAlignment="1">
      <alignment vertical="center"/>
    </xf>
    <xf numFmtId="3" fontId="37" fillId="0" borderId="27" xfId="39" applyNumberFormat="1" applyFont="1" applyFill="1" applyBorder="1" applyAlignment="1">
      <alignment vertical="center"/>
    </xf>
    <xf numFmtId="3" fontId="37" fillId="0" borderId="27" xfId="49" applyNumberFormat="1" applyFont="1" applyFill="1" applyBorder="1" applyAlignment="1">
      <alignment vertical="center"/>
    </xf>
    <xf numFmtId="9" fontId="37" fillId="0" borderId="27" xfId="45" applyFont="1" applyFill="1" applyBorder="1" applyAlignment="1">
      <alignment vertical="center"/>
    </xf>
    <xf numFmtId="166" fontId="37" fillId="0" borderId="27" xfId="45" applyNumberFormat="1" applyFont="1" applyFill="1" applyBorder="1" applyAlignment="1">
      <alignment vertical="center"/>
    </xf>
    <xf numFmtId="0" fontId="38" fillId="0" borderId="0" xfId="39" applyFont="1" applyFill="1" applyBorder="1" applyAlignment="1">
      <alignment vertical="center"/>
    </xf>
    <xf numFmtId="0" fontId="38" fillId="30" borderId="27" xfId="39" applyFont="1" applyFill="1" applyBorder="1" applyAlignment="1">
      <alignment vertical="center" wrapText="1"/>
    </xf>
    <xf numFmtId="3" fontId="38" fillId="28" borderId="27" xfId="49" applyNumberFormat="1" applyFont="1" applyFill="1" applyBorder="1" applyAlignment="1">
      <alignment vertical="center"/>
    </xf>
    <xf numFmtId="9" fontId="38" fillId="28" borderId="27" xfId="45" applyFont="1" applyFill="1" applyBorder="1" applyAlignment="1">
      <alignment vertical="center"/>
    </xf>
    <xf numFmtId="166" fontId="38" fillId="28" borderId="27" xfId="45" applyNumberFormat="1" applyFont="1" applyFill="1" applyBorder="1" applyAlignment="1">
      <alignment vertical="center"/>
    </xf>
    <xf numFmtId="3" fontId="38" fillId="0" borderId="27" xfId="49" applyNumberFormat="1" applyFont="1" applyFill="1" applyBorder="1" applyAlignment="1">
      <alignment vertical="center"/>
    </xf>
    <xf numFmtId="9" fontId="38" fillId="0" borderId="27" xfId="45" applyFont="1" applyFill="1" applyBorder="1" applyAlignment="1">
      <alignment vertical="center"/>
    </xf>
    <xf numFmtId="0" fontId="36" fillId="0" borderId="27" xfId="39" applyFont="1" applyFill="1" applyBorder="1" applyAlignment="1">
      <alignment horizontal="center" vertical="center"/>
    </xf>
    <xf numFmtId="0" fontId="36" fillId="0" borderId="27" xfId="39" applyFont="1" applyFill="1" applyBorder="1" applyAlignment="1">
      <alignment vertical="center" wrapText="1"/>
    </xf>
    <xf numFmtId="49" fontId="36" fillId="0" borderId="27" xfId="39" applyNumberFormat="1" applyFont="1" applyFill="1" applyBorder="1" applyAlignment="1">
      <alignment vertical="center"/>
    </xf>
    <xf numFmtId="3" fontId="36" fillId="0" borderId="27" xfId="39" applyNumberFormat="1" applyFont="1" applyFill="1" applyBorder="1" applyAlignment="1">
      <alignment vertical="center"/>
    </xf>
    <xf numFmtId="0" fontId="25" fillId="27" borderId="27" xfId="39" applyFont="1" applyFill="1" applyBorder="1" applyAlignment="1">
      <alignment horizontal="center" vertical="center"/>
    </xf>
    <xf numFmtId="0" fontId="25" fillId="27" borderId="27" xfId="39" applyFont="1" applyFill="1" applyBorder="1" applyAlignment="1">
      <alignment vertical="center" wrapText="1"/>
    </xf>
    <xf numFmtId="49" fontId="25" fillId="27" borderId="27" xfId="39" applyNumberFormat="1" applyFont="1" applyFill="1" applyBorder="1" applyAlignment="1">
      <alignment vertical="center"/>
    </xf>
    <xf numFmtId="3" fontId="25" fillId="27" borderId="27" xfId="39" applyNumberFormat="1" applyFont="1" applyFill="1" applyBorder="1" applyAlignment="1">
      <alignment vertical="center"/>
    </xf>
    <xf numFmtId="3" fontId="25" fillId="27" borderId="27" xfId="49" applyNumberFormat="1" applyFont="1" applyFill="1" applyBorder="1" applyAlignment="1">
      <alignment vertical="center"/>
    </xf>
    <xf numFmtId="9" fontId="25" fillId="27" borderId="27" xfId="45" applyFont="1" applyFill="1" applyBorder="1" applyAlignment="1">
      <alignment vertical="center"/>
    </xf>
    <xf numFmtId="166" fontId="25" fillId="27" borderId="27" xfId="45" applyNumberFormat="1" applyFont="1" applyFill="1" applyBorder="1" applyAlignment="1">
      <alignment vertical="center"/>
    </xf>
    <xf numFmtId="0" fontId="25" fillId="0" borderId="0" xfId="39" applyFont="1" applyFill="1" applyAlignment="1">
      <alignment vertical="center"/>
    </xf>
    <xf numFmtId="0" fontId="36" fillId="0" borderId="32" xfId="39" applyFont="1" applyBorder="1" applyAlignment="1">
      <alignment horizontal="left" vertical="center" wrapText="1"/>
    </xf>
    <xf numFmtId="49" fontId="36" fillId="0" borderId="32" xfId="39" applyNumberFormat="1" applyFont="1" applyBorder="1" applyAlignment="1">
      <alignment horizontal="left" vertical="center" wrapText="1"/>
    </xf>
    <xf numFmtId="3" fontId="36" fillId="0" borderId="32" xfId="39" applyNumberFormat="1" applyFont="1" applyBorder="1" applyAlignment="1">
      <alignment horizontal="left" vertical="center" wrapText="1"/>
    </xf>
    <xf numFmtId="3" fontId="36" fillId="0" borderId="32" xfId="49" applyNumberFormat="1" applyFont="1" applyFill="1" applyBorder="1" applyAlignment="1">
      <alignment horizontal="left" vertical="center" wrapText="1"/>
    </xf>
    <xf numFmtId="9" fontId="36" fillId="0" borderId="32" xfId="45" applyFont="1" applyFill="1" applyBorder="1" applyAlignment="1">
      <alignment horizontal="left" vertical="center" wrapText="1"/>
    </xf>
    <xf numFmtId="166" fontId="36" fillId="0" borderId="32" xfId="45" applyNumberFormat="1" applyFont="1" applyFill="1" applyBorder="1" applyAlignment="1">
      <alignment horizontal="left" vertical="center" wrapText="1"/>
    </xf>
    <xf numFmtId="0" fontId="28" fillId="29" borderId="31" xfId="39" applyFont="1" applyFill="1" applyBorder="1" applyAlignment="1">
      <alignment horizontal="center" vertical="center"/>
    </xf>
    <xf numFmtId="0" fontId="28" fillId="29" borderId="31" xfId="39" applyFont="1" applyFill="1" applyBorder="1" applyAlignment="1">
      <alignment vertical="center"/>
    </xf>
    <xf numFmtId="49" fontId="28" fillId="29" borderId="31" xfId="39" applyNumberFormat="1" applyFont="1" applyFill="1" applyBorder="1" applyAlignment="1">
      <alignment vertical="center"/>
    </xf>
    <xf numFmtId="3" fontId="28" fillId="29" borderId="31" xfId="39" applyNumberFormat="1" applyFont="1" applyFill="1" applyBorder="1" applyAlignment="1">
      <alignment vertical="center"/>
    </xf>
    <xf numFmtId="3" fontId="28" fillId="29" borderId="31" xfId="49" applyNumberFormat="1" applyFont="1" applyFill="1" applyBorder="1" applyAlignment="1">
      <alignment vertical="center"/>
    </xf>
    <xf numFmtId="9" fontId="28" fillId="29" borderId="31" xfId="45" applyFont="1" applyFill="1" applyBorder="1" applyAlignment="1">
      <alignment vertical="center"/>
    </xf>
    <xf numFmtId="166" fontId="28" fillId="29" borderId="31" xfId="45" applyNumberFormat="1" applyFont="1" applyFill="1" applyBorder="1" applyAlignment="1">
      <alignment vertical="center"/>
    </xf>
    <xf numFmtId="0" fontId="36" fillId="0" borderId="0" xfId="39" applyFont="1" applyAlignment="1">
      <alignment horizontal="center" vertical="center"/>
    </xf>
    <xf numFmtId="3" fontId="25" fillId="0" borderId="0" xfId="39" applyNumberFormat="1" applyFont="1" applyAlignment="1">
      <alignment vertical="center"/>
    </xf>
    <xf numFmtId="0" fontId="25" fillId="0" borderId="0" xfId="39" applyFont="1" applyAlignment="1">
      <alignment horizontal="center" vertical="center"/>
    </xf>
    <xf numFmtId="49" fontId="25" fillId="0" borderId="0" xfId="39" applyNumberFormat="1" applyFont="1" applyAlignment="1">
      <alignment horizontal="center" vertical="center"/>
    </xf>
    <xf numFmtId="3" fontId="25" fillId="0" borderId="0" xfId="39" applyNumberFormat="1" applyFont="1" applyAlignment="1">
      <alignment horizontal="center" vertical="center"/>
    </xf>
    <xf numFmtId="9" fontId="25" fillId="0" borderId="0" xfId="45" applyFont="1" applyAlignment="1">
      <alignment horizontal="center" vertical="center"/>
    </xf>
    <xf numFmtId="166" fontId="25" fillId="0" borderId="0" xfId="45" applyNumberFormat="1" applyFont="1" applyAlignment="1">
      <alignment horizontal="center" vertical="center"/>
    </xf>
    <xf numFmtId="3" fontId="26" fillId="0" borderId="14" xfId="41" applyNumberFormat="1" applyFont="1" applyFill="1" applyBorder="1" applyAlignment="1" applyProtection="1">
      <alignment vertical="center"/>
      <protection locked="0"/>
    </xf>
    <xf numFmtId="3" fontId="26" fillId="0" borderId="15" xfId="41" applyNumberFormat="1" applyFont="1" applyFill="1" applyBorder="1" applyAlignment="1" applyProtection="1">
      <alignment vertical="center"/>
      <protection locked="0"/>
    </xf>
    <xf numFmtId="3" fontId="30" fillId="0" borderId="0" xfId="41" applyNumberFormat="1" applyFont="1" applyFill="1" applyAlignment="1" applyProtection="1">
      <alignment vertical="center"/>
    </xf>
    <xf numFmtId="9" fontId="36" fillId="0" borderId="0" xfId="45" applyFont="1" applyFill="1" applyAlignment="1">
      <alignment vertical="center"/>
    </xf>
    <xf numFmtId="9" fontId="26" fillId="0" borderId="0" xfId="45" applyFont="1" applyFill="1" applyAlignment="1">
      <alignment vertical="center"/>
    </xf>
    <xf numFmtId="166" fontId="38" fillId="0" borderId="27" xfId="45" applyNumberFormat="1" applyFont="1" applyFill="1" applyBorder="1" applyAlignment="1">
      <alignment vertical="center"/>
    </xf>
    <xf numFmtId="41" fontId="36" fillId="0" borderId="10" xfId="51" applyFont="1" applyFill="1" applyBorder="1" applyAlignment="1">
      <alignment vertical="center" wrapText="1"/>
    </xf>
    <xf numFmtId="0" fontId="36" fillId="0" borderId="10" xfId="39" applyFont="1" applyFill="1" applyBorder="1" applyAlignment="1">
      <alignment vertical="center" wrapText="1"/>
    </xf>
    <xf numFmtId="41" fontId="36" fillId="0" borderId="10" xfId="51" applyFont="1" applyFill="1" applyBorder="1" applyAlignment="1">
      <alignment vertical="center"/>
    </xf>
    <xf numFmtId="0" fontId="36" fillId="0" borderId="10" xfId="39" applyFont="1" applyFill="1" applyBorder="1" applyAlignment="1">
      <alignment vertical="center"/>
    </xf>
    <xf numFmtId="41" fontId="25" fillId="0" borderId="10" xfId="51" applyFont="1" applyFill="1" applyBorder="1" applyAlignment="1">
      <alignment vertical="center"/>
    </xf>
    <xf numFmtId="0" fontId="25" fillId="0" borderId="10" xfId="39" applyFont="1" applyFill="1" applyBorder="1" applyAlignment="1">
      <alignment vertical="center"/>
    </xf>
    <xf numFmtId="41" fontId="38" fillId="0" borderId="10" xfId="51" applyFont="1" applyFill="1" applyBorder="1" applyAlignment="1">
      <alignment vertical="center"/>
    </xf>
    <xf numFmtId="0" fontId="38" fillId="0" borderId="10" xfId="39" applyFont="1" applyFill="1" applyBorder="1" applyAlignment="1">
      <alignment vertical="center"/>
    </xf>
    <xf numFmtId="41" fontId="25" fillId="31" borderId="10" xfId="51" applyFont="1" applyFill="1" applyBorder="1" applyAlignment="1">
      <alignment horizontal="center" vertical="center" wrapText="1"/>
    </xf>
    <xf numFmtId="0" fontId="25" fillId="31" borderId="10" xfId="39" applyFont="1" applyFill="1" applyBorder="1" applyAlignment="1">
      <alignment horizontal="center" vertical="center" wrapText="1"/>
    </xf>
    <xf numFmtId="0" fontId="42" fillId="0" borderId="0" xfId="0" applyFont="1"/>
    <xf numFmtId="41" fontId="0" fillId="0" borderId="0" xfId="51" applyFont="1"/>
    <xf numFmtId="41" fontId="0" fillId="32" borderId="0" xfId="51" applyFont="1" applyFill="1"/>
    <xf numFmtId="0" fontId="42" fillId="0" borderId="10" xfId="0" applyFont="1" applyBorder="1"/>
    <xf numFmtId="41" fontId="42" fillId="0" borderId="10" xfId="51" applyFont="1" applyBorder="1"/>
    <xf numFmtId="41" fontId="0" fillId="0" borderId="10" xfId="51" applyFont="1" applyBorder="1"/>
    <xf numFmtId="0" fontId="0" fillId="0" borderId="30" xfId="0" applyBorder="1"/>
    <xf numFmtId="41" fontId="0" fillId="32" borderId="30" xfId="51" applyFont="1" applyFill="1" applyBorder="1"/>
    <xf numFmtId="0" fontId="0" fillId="0" borderId="27" xfId="0" applyBorder="1"/>
    <xf numFmtId="41" fontId="0" fillId="0" borderId="27" xfId="51" applyFont="1" applyBorder="1"/>
    <xf numFmtId="0" fontId="0" fillId="0" borderId="32" xfId="0" applyBorder="1"/>
    <xf numFmtId="41" fontId="0" fillId="0" borderId="32" xfId="51" applyFont="1" applyBorder="1"/>
    <xf numFmtId="0" fontId="0" fillId="0" borderId="28" xfId="0" applyBorder="1"/>
    <xf numFmtId="41" fontId="0" fillId="0" borderId="28" xfId="51" applyFont="1" applyBorder="1"/>
    <xf numFmtId="0" fontId="0" fillId="0" borderId="34" xfId="0" applyBorder="1"/>
    <xf numFmtId="41" fontId="0" fillId="0" borderId="34" xfId="51" applyFont="1" applyBorder="1"/>
    <xf numFmtId="0" fontId="0" fillId="0" borderId="31" xfId="0" applyBorder="1"/>
    <xf numFmtId="41" fontId="0" fillId="32" borderId="27" xfId="51" applyFont="1" applyFill="1" applyBorder="1"/>
    <xf numFmtId="41" fontId="0" fillId="32" borderId="28" xfId="51" applyFont="1" applyFill="1" applyBorder="1"/>
    <xf numFmtId="41" fontId="0" fillId="32" borderId="31" xfId="51" applyFont="1" applyFill="1" applyBorder="1"/>
    <xf numFmtId="0" fontId="42" fillId="33" borderId="10" xfId="0" applyFont="1" applyFill="1" applyBorder="1" applyAlignment="1">
      <alignment horizontal="center"/>
    </xf>
    <xf numFmtId="169" fontId="42" fillId="33" borderId="10" xfId="51" applyNumberFormat="1" applyFont="1" applyFill="1" applyBorder="1" applyAlignment="1">
      <alignment horizontal="center"/>
    </xf>
    <xf numFmtId="0" fontId="42" fillId="0" borderId="34" xfId="0" applyFont="1" applyBorder="1"/>
    <xf numFmtId="9" fontId="0" fillId="0" borderId="27" xfId="51" applyNumberFormat="1" applyFont="1" applyBorder="1"/>
    <xf numFmtId="9" fontId="0" fillId="0" borderId="27" xfId="45" applyFont="1" applyBorder="1"/>
    <xf numFmtId="166" fontId="0" fillId="0" borderId="27" xfId="45" applyNumberFormat="1" applyFont="1" applyBorder="1"/>
    <xf numFmtId="166" fontId="0" fillId="0" borderId="28" xfId="45" applyNumberFormat="1" applyFont="1" applyBorder="1"/>
    <xf numFmtId="0" fontId="43" fillId="30" borderId="27" xfId="39" applyFont="1" applyFill="1" applyBorder="1" applyAlignment="1">
      <alignment vertical="center"/>
    </xf>
    <xf numFmtId="49" fontId="43" fillId="30" borderId="27" xfId="39" applyNumberFormat="1" applyFont="1" applyFill="1" applyBorder="1" applyAlignment="1">
      <alignment vertical="center"/>
    </xf>
    <xf numFmtId="3" fontId="43" fillId="30" borderId="27" xfId="39" applyNumberFormat="1" applyFont="1" applyFill="1" applyBorder="1" applyAlignment="1">
      <alignment vertical="center"/>
    </xf>
    <xf numFmtId="3" fontId="43" fillId="0" borderId="27" xfId="49" applyNumberFormat="1" applyFont="1" applyFill="1" applyBorder="1" applyAlignment="1">
      <alignment vertical="center"/>
    </xf>
    <xf numFmtId="9" fontId="44" fillId="0" borderId="27" xfId="45" applyFont="1" applyFill="1" applyBorder="1" applyAlignment="1">
      <alignment vertical="center"/>
    </xf>
    <xf numFmtId="9" fontId="43" fillId="0" borderId="27" xfId="45" applyFont="1" applyFill="1" applyBorder="1" applyAlignment="1">
      <alignment vertical="center"/>
    </xf>
    <xf numFmtId="166" fontId="44" fillId="0" borderId="27" xfId="45" applyNumberFormat="1" applyFont="1" applyFill="1" applyBorder="1" applyAlignment="1">
      <alignment vertical="center"/>
    </xf>
    <xf numFmtId="41" fontId="36" fillId="34" borderId="10" xfId="51" applyFont="1" applyFill="1" applyBorder="1" applyAlignment="1">
      <alignment vertical="center" wrapText="1"/>
    </xf>
    <xf numFmtId="3" fontId="36" fillId="0" borderId="0" xfId="45" applyNumberFormat="1" applyFont="1" applyFill="1" applyAlignment="1">
      <alignment vertical="center"/>
    </xf>
    <xf numFmtId="3" fontId="26" fillId="0" borderId="0" xfId="45" applyNumberFormat="1" applyFont="1" applyFill="1" applyAlignment="1">
      <alignment vertical="center"/>
    </xf>
    <xf numFmtId="3" fontId="28" fillId="0" borderId="0" xfId="45" applyNumberFormat="1" applyFont="1" applyFill="1" applyBorder="1" applyAlignment="1">
      <alignment horizontal="center" vertical="center"/>
    </xf>
    <xf numFmtId="3" fontId="25" fillId="24" borderId="10" xfId="45" applyNumberFormat="1" applyFont="1" applyFill="1" applyBorder="1" applyAlignment="1">
      <alignment horizontal="center" vertical="center" wrapText="1"/>
    </xf>
    <xf numFmtId="3" fontId="28" fillId="29" borderId="13" xfId="45" applyNumberFormat="1" applyFont="1" applyFill="1" applyBorder="1" applyAlignment="1">
      <alignment vertical="center"/>
    </xf>
    <xf numFmtId="3" fontId="28" fillId="0" borderId="31" xfId="45" applyNumberFormat="1" applyFont="1" applyFill="1" applyBorder="1" applyAlignment="1">
      <alignment vertical="center"/>
    </xf>
    <xf numFmtId="3" fontId="28" fillId="27" borderId="31" xfId="45" applyNumberFormat="1" applyFont="1" applyFill="1" applyBorder="1" applyAlignment="1">
      <alignment vertical="center"/>
    </xf>
    <xf numFmtId="3" fontId="36" fillId="0" borderId="31" xfId="45" applyNumberFormat="1" applyFont="1" applyFill="1" applyBorder="1" applyAlignment="1">
      <alignment vertical="center"/>
    </xf>
    <xf numFmtId="3" fontId="36" fillId="0" borderId="15" xfId="45" applyNumberFormat="1" applyFont="1" applyFill="1" applyBorder="1" applyAlignment="1">
      <alignment vertical="center"/>
    </xf>
    <xf numFmtId="3" fontId="38" fillId="30" borderId="31" xfId="45" applyNumberFormat="1" applyFont="1" applyFill="1" applyBorder="1" applyAlignment="1">
      <alignment vertical="center"/>
    </xf>
    <xf numFmtId="3" fontId="36" fillId="0" borderId="0" xfId="45" applyNumberFormat="1" applyFont="1" applyFill="1" applyBorder="1" applyAlignment="1">
      <alignment vertical="center"/>
    </xf>
    <xf numFmtId="3" fontId="30" fillId="30" borderId="0" xfId="45" applyNumberFormat="1" applyFont="1" applyFill="1" applyBorder="1" applyAlignment="1">
      <alignment vertical="center"/>
    </xf>
    <xf numFmtId="3" fontId="25" fillId="0" borderId="0" xfId="45" applyNumberFormat="1" applyFont="1" applyBorder="1" applyAlignment="1">
      <alignment vertical="center"/>
    </xf>
    <xf numFmtId="3" fontId="25" fillId="0" borderId="0" xfId="45" applyNumberFormat="1" applyFont="1" applyFill="1" applyBorder="1" applyAlignment="1">
      <alignment vertical="center"/>
    </xf>
    <xf numFmtId="3" fontId="38" fillId="30" borderId="0" xfId="45" applyNumberFormat="1" applyFont="1" applyFill="1" applyBorder="1" applyAlignment="1">
      <alignment vertical="center"/>
    </xf>
    <xf numFmtId="3" fontId="37" fillId="0" borderId="0" xfId="45" applyNumberFormat="1" applyFont="1" applyFill="1" applyBorder="1" applyAlignment="1">
      <alignment vertical="center"/>
    </xf>
    <xf numFmtId="3" fontId="38" fillId="28" borderId="0" xfId="45" applyNumberFormat="1" applyFont="1" applyFill="1" applyBorder="1" applyAlignment="1">
      <alignment vertical="center"/>
    </xf>
    <xf numFmtId="3" fontId="28" fillId="27" borderId="0" xfId="45" applyNumberFormat="1" applyFont="1" applyFill="1" applyBorder="1" applyAlignment="1">
      <alignment vertical="center"/>
    </xf>
    <xf numFmtId="3" fontId="38" fillId="0" borderId="0" xfId="45" applyNumberFormat="1" applyFont="1" applyFill="1" applyBorder="1" applyAlignment="1">
      <alignment vertical="center"/>
    </xf>
    <xf numFmtId="3" fontId="43" fillId="0" borderId="0" xfId="45" applyNumberFormat="1" applyFont="1" applyFill="1" applyBorder="1" applyAlignment="1">
      <alignment vertical="center"/>
    </xf>
    <xf numFmtId="3" fontId="25" fillId="27" borderId="0" xfId="45" applyNumberFormat="1" applyFont="1" applyFill="1" applyBorder="1" applyAlignment="1">
      <alignment vertical="center"/>
    </xf>
    <xf numFmtId="3" fontId="36" fillId="0" borderId="0" xfId="45" applyNumberFormat="1" applyFont="1" applyFill="1" applyBorder="1" applyAlignment="1">
      <alignment horizontal="left" vertical="center" wrapText="1"/>
    </xf>
    <xf numFmtId="3" fontId="28" fillId="29" borderId="0" xfId="45" applyNumberFormat="1" applyFont="1" applyFill="1" applyBorder="1" applyAlignment="1">
      <alignment vertical="center"/>
    </xf>
    <xf numFmtId="3" fontId="28" fillId="0" borderId="0" xfId="45" applyNumberFormat="1" applyFont="1" applyFill="1" applyBorder="1" applyAlignment="1">
      <alignment vertical="center"/>
    </xf>
    <xf numFmtId="3" fontId="25" fillId="0" borderId="0" xfId="45" applyNumberFormat="1" applyFont="1" applyFill="1" applyBorder="1" applyAlignment="1">
      <alignment horizontal="left" vertical="center"/>
    </xf>
    <xf numFmtId="3" fontId="36" fillId="0" borderId="0" xfId="45" applyNumberFormat="1" applyFont="1" applyAlignment="1">
      <alignment vertical="center"/>
    </xf>
    <xf numFmtId="3" fontId="25" fillId="0" borderId="0" xfId="45" applyNumberFormat="1" applyFont="1" applyAlignment="1">
      <alignment horizontal="center" vertical="center"/>
    </xf>
    <xf numFmtId="3" fontId="25" fillId="0" borderId="31" xfId="45" applyNumberFormat="1" applyFont="1" applyFill="1" applyBorder="1" applyAlignment="1">
      <alignment vertical="center"/>
    </xf>
    <xf numFmtId="41" fontId="45" fillId="0" borderId="0" xfId="51" applyFont="1"/>
    <xf numFmtId="0" fontId="0" fillId="0" borderId="34" xfId="0" applyFont="1" applyBorder="1"/>
    <xf numFmtId="41" fontId="46" fillId="0" borderId="10" xfId="51" applyFont="1" applyFill="1" applyBorder="1" applyAlignment="1">
      <alignment vertical="center"/>
    </xf>
    <xf numFmtId="0" fontId="36" fillId="0" borderId="10" xfId="39" applyFont="1" applyFill="1" applyBorder="1" applyAlignment="1">
      <alignment horizontal="center" vertical="center"/>
    </xf>
    <xf numFmtId="49" fontId="36" fillId="0" borderId="10" xfId="39" applyNumberFormat="1" applyFont="1" applyFill="1" applyBorder="1" applyAlignment="1">
      <alignment vertical="center"/>
    </xf>
    <xf numFmtId="3" fontId="36" fillId="0" borderId="10" xfId="39" applyNumberFormat="1" applyFont="1" applyFill="1" applyBorder="1" applyAlignment="1">
      <alignment vertical="center"/>
    </xf>
    <xf numFmtId="9" fontId="36" fillId="0" borderId="10" xfId="45" applyFont="1" applyFill="1" applyBorder="1" applyAlignment="1">
      <alignment vertical="center"/>
    </xf>
    <xf numFmtId="166" fontId="36" fillId="0" borderId="10" xfId="45" applyNumberFormat="1" applyFont="1" applyFill="1" applyBorder="1" applyAlignment="1">
      <alignment vertical="center"/>
    </xf>
    <xf numFmtId="9" fontId="28" fillId="0" borderId="25" xfId="45" applyFont="1" applyFill="1" applyBorder="1" applyAlignment="1">
      <alignment vertical="center"/>
    </xf>
    <xf numFmtId="9" fontId="25" fillId="0" borderId="25" xfId="45" applyFont="1" applyFill="1" applyBorder="1" applyAlignment="1">
      <alignment horizontal="left" vertical="center"/>
    </xf>
    <xf numFmtId="9" fontId="25" fillId="0" borderId="25" xfId="45" applyFont="1" applyFill="1" applyBorder="1" applyAlignment="1">
      <alignment vertical="center"/>
    </xf>
    <xf numFmtId="9" fontId="36" fillId="0" borderId="25" xfId="45" applyFont="1" applyFill="1" applyBorder="1" applyAlignment="1">
      <alignment vertical="center"/>
    </xf>
    <xf numFmtId="0" fontId="26" fillId="0" borderId="10" xfId="39" applyFont="1" applyFill="1" applyBorder="1" applyAlignment="1">
      <alignment horizontal="center" vertical="center"/>
    </xf>
    <xf numFmtId="0" fontId="26" fillId="0" borderId="10" xfId="39" applyFont="1" applyFill="1" applyBorder="1" applyAlignment="1">
      <alignment vertical="center"/>
    </xf>
    <xf numFmtId="49" fontId="26" fillId="0" borderId="10" xfId="39" applyNumberFormat="1" applyFont="1" applyFill="1" applyBorder="1" applyAlignment="1">
      <alignment vertical="center"/>
    </xf>
    <xf numFmtId="3" fontId="26" fillId="0" borderId="10" xfId="39" applyNumberFormat="1" applyFont="1" applyFill="1" applyBorder="1" applyAlignment="1">
      <alignment vertical="center"/>
    </xf>
    <xf numFmtId="3" fontId="26" fillId="0" borderId="10" xfId="49" applyNumberFormat="1" applyFont="1" applyFill="1" applyBorder="1" applyAlignment="1">
      <alignment vertical="center"/>
    </xf>
    <xf numFmtId="0" fontId="36" fillId="0" borderId="10" xfId="39" applyFont="1" applyFill="1" applyBorder="1" applyAlignment="1">
      <alignment horizontal="left" vertical="center"/>
    </xf>
    <xf numFmtId="49" fontId="36" fillId="0" borderId="10" xfId="39" applyNumberFormat="1" applyFont="1" applyFill="1" applyBorder="1" applyAlignment="1">
      <alignment horizontal="left" vertical="center"/>
    </xf>
    <xf numFmtId="3" fontId="36" fillId="0" borderId="10" xfId="39" applyNumberFormat="1" applyFont="1" applyFill="1" applyBorder="1" applyAlignment="1">
      <alignment horizontal="left" vertical="center"/>
    </xf>
    <xf numFmtId="3" fontId="36" fillId="0" borderId="10" xfId="49" applyNumberFormat="1" applyFont="1" applyFill="1" applyBorder="1" applyAlignment="1">
      <alignment horizontal="left" vertical="center"/>
    </xf>
    <xf numFmtId="9" fontId="36" fillId="0" borderId="10" xfId="45" applyFont="1" applyFill="1" applyBorder="1" applyAlignment="1">
      <alignment horizontal="left" vertical="center"/>
    </xf>
    <xf numFmtId="166" fontId="36" fillId="0" borderId="10" xfId="45" applyNumberFormat="1" applyFont="1" applyFill="1" applyBorder="1" applyAlignment="1">
      <alignment horizontal="left" vertical="center"/>
    </xf>
    <xf numFmtId="41" fontId="0" fillId="0" borderId="35" xfId="51" applyFont="1" applyBorder="1" applyAlignment="1"/>
    <xf numFmtId="41" fontId="0" fillId="0" borderId="36" xfId="51" applyFont="1" applyBorder="1" applyAlignment="1"/>
    <xf numFmtId="41" fontId="45" fillId="0" borderId="34" xfId="51" applyFont="1" applyBorder="1"/>
    <xf numFmtId="41" fontId="45" fillId="0" borderId="10" xfId="51" applyFont="1" applyBorder="1"/>
    <xf numFmtId="0" fontId="48" fillId="0" borderId="0" xfId="0" applyFont="1"/>
    <xf numFmtId="3" fontId="25" fillId="31" borderId="13" xfId="45" applyNumberFormat="1" applyFont="1" applyFill="1" applyBorder="1" applyAlignment="1">
      <alignment horizontal="center" vertical="center" wrapText="1"/>
    </xf>
    <xf numFmtId="41" fontId="25" fillId="31" borderId="13" xfId="51" applyFont="1" applyFill="1" applyBorder="1" applyAlignment="1">
      <alignment horizontal="center" vertical="center" wrapText="1"/>
    </xf>
    <xf numFmtId="0" fontId="25" fillId="31" borderId="13" xfId="39" applyFont="1" applyFill="1" applyBorder="1" applyAlignment="1">
      <alignment horizontal="center" vertical="center" wrapText="1"/>
    </xf>
    <xf numFmtId="9" fontId="36" fillId="0" borderId="0" xfId="45" applyFont="1" applyFill="1" applyAlignment="1">
      <alignment horizontal="right" vertical="center"/>
    </xf>
    <xf numFmtId="3" fontId="36" fillId="0" borderId="0" xfId="45" applyNumberFormat="1" applyFont="1" applyFill="1" applyAlignment="1">
      <alignment horizontal="right" vertical="center"/>
    </xf>
    <xf numFmtId="41" fontId="36" fillId="0" borderId="0" xfId="51" applyFont="1" applyFill="1" applyAlignment="1">
      <alignment horizontal="right" vertical="center"/>
    </xf>
    <xf numFmtId="0" fontId="36" fillId="0" borderId="0" xfId="39" applyFont="1" applyFill="1" applyAlignment="1">
      <alignment horizontal="right" vertical="center"/>
    </xf>
    <xf numFmtId="9" fontId="26" fillId="0" borderId="0" xfId="45" applyFont="1" applyFill="1" applyAlignment="1">
      <alignment horizontal="right" vertical="center"/>
    </xf>
    <xf numFmtId="3" fontId="26" fillId="0" borderId="0" xfId="45" applyNumberFormat="1" applyFont="1" applyFill="1" applyAlignment="1">
      <alignment horizontal="right" vertical="center"/>
    </xf>
    <xf numFmtId="41" fontId="26" fillId="0" borderId="0" xfId="51" applyFont="1" applyFill="1" applyAlignment="1">
      <alignment horizontal="right" vertical="center"/>
    </xf>
    <xf numFmtId="0" fontId="26" fillId="0" borderId="0" xfId="39" applyFont="1" applyFill="1" applyAlignment="1">
      <alignment horizontal="right" vertical="center"/>
    </xf>
    <xf numFmtId="0" fontId="26" fillId="26" borderId="0" xfId="39" applyFont="1" applyFill="1" applyBorder="1" applyAlignment="1">
      <alignment horizontal="right" vertical="center"/>
    </xf>
    <xf numFmtId="3" fontId="28" fillId="0" borderId="0" xfId="39" applyNumberFormat="1" applyFont="1" applyFill="1" applyBorder="1" applyAlignment="1">
      <alignment horizontal="right" vertical="center"/>
    </xf>
    <xf numFmtId="9" fontId="28" fillId="0" borderId="0" xfId="45" applyFont="1" applyFill="1" applyBorder="1" applyAlignment="1">
      <alignment horizontal="right" vertical="center"/>
    </xf>
    <xf numFmtId="3" fontId="26" fillId="0" borderId="0" xfId="39" applyNumberFormat="1" applyFont="1" applyFill="1" applyBorder="1" applyAlignment="1">
      <alignment horizontal="right" vertical="center"/>
    </xf>
    <xf numFmtId="3" fontId="28" fillId="0" borderId="0" xfId="45" applyNumberFormat="1" applyFont="1" applyFill="1" applyBorder="1" applyAlignment="1">
      <alignment horizontal="right" vertical="center"/>
    </xf>
    <xf numFmtId="41" fontId="26" fillId="0" borderId="0" xfId="51" applyFont="1" applyFill="1" applyBorder="1" applyAlignment="1">
      <alignment horizontal="right" vertical="center"/>
    </xf>
    <xf numFmtId="0" fontId="26" fillId="0" borderId="0" xfId="39" applyFont="1" applyFill="1" applyBorder="1" applyAlignment="1">
      <alignment horizontal="right" vertical="center"/>
    </xf>
    <xf numFmtId="49" fontId="28" fillId="0" borderId="19" xfId="39" applyNumberFormat="1" applyFont="1" applyFill="1" applyBorder="1" applyAlignment="1">
      <alignment horizontal="right" vertical="center"/>
    </xf>
    <xf numFmtId="3" fontId="28" fillId="0" borderId="19" xfId="39" applyNumberFormat="1" applyFont="1" applyFill="1" applyBorder="1" applyAlignment="1">
      <alignment horizontal="right" vertical="center"/>
    </xf>
    <xf numFmtId="9" fontId="28" fillId="0" borderId="19" xfId="45" applyFont="1" applyFill="1" applyBorder="1" applyAlignment="1">
      <alignment horizontal="right" vertical="center"/>
    </xf>
    <xf numFmtId="3" fontId="26" fillId="0" borderId="19" xfId="39" applyNumberFormat="1" applyFont="1" applyFill="1" applyBorder="1" applyAlignment="1">
      <alignment horizontal="right" vertical="center"/>
    </xf>
    <xf numFmtId="49" fontId="28" fillId="29" borderId="30" xfId="39" applyNumberFormat="1" applyFont="1" applyFill="1" applyBorder="1" applyAlignment="1">
      <alignment horizontal="right" vertical="center"/>
    </xf>
    <xf numFmtId="3" fontId="28" fillId="29" borderId="30" xfId="49" applyNumberFormat="1" applyFont="1" applyFill="1" applyBorder="1" applyAlignment="1">
      <alignment horizontal="right" vertical="center"/>
    </xf>
    <xf numFmtId="9" fontId="28" fillId="29" borderId="30" xfId="45" applyFont="1" applyFill="1" applyBorder="1" applyAlignment="1">
      <alignment horizontal="right" vertical="center"/>
    </xf>
    <xf numFmtId="9" fontId="28" fillId="29" borderId="37" xfId="45" applyFont="1" applyFill="1" applyBorder="1" applyAlignment="1">
      <alignment horizontal="right" vertical="center"/>
    </xf>
    <xf numFmtId="49" fontId="28" fillId="0" borderId="31" xfId="39" applyNumberFormat="1" applyFont="1" applyFill="1" applyBorder="1" applyAlignment="1">
      <alignment horizontal="right" vertical="center"/>
    </xf>
    <xf numFmtId="3" fontId="28" fillId="0" borderId="31" xfId="39" applyNumberFormat="1" applyFont="1" applyFill="1" applyBorder="1" applyAlignment="1">
      <alignment horizontal="right" vertical="center"/>
    </xf>
    <xf numFmtId="3" fontId="28" fillId="0" borderId="31" xfId="49" applyNumberFormat="1" applyFont="1" applyFill="1" applyBorder="1" applyAlignment="1">
      <alignment horizontal="right" vertical="center"/>
    </xf>
    <xf numFmtId="9" fontId="28" fillId="0" borderId="31" xfId="45" applyFont="1" applyFill="1" applyBorder="1" applyAlignment="1">
      <alignment horizontal="right" vertical="center"/>
    </xf>
    <xf numFmtId="3" fontId="28" fillId="35" borderId="10" xfId="45" applyNumberFormat="1" applyFont="1" applyFill="1" applyBorder="1" applyAlignment="1">
      <alignment horizontal="right" vertical="center"/>
    </xf>
    <xf numFmtId="41" fontId="36" fillId="0" borderId="10" xfId="51" applyFont="1" applyFill="1" applyBorder="1" applyAlignment="1">
      <alignment horizontal="right" vertical="center"/>
    </xf>
    <xf numFmtId="0" fontId="36" fillId="0" borderId="10" xfId="39" applyFont="1" applyFill="1" applyBorder="1" applyAlignment="1">
      <alignment horizontal="right" vertical="center"/>
    </xf>
    <xf numFmtId="3" fontId="28" fillId="29" borderId="30" xfId="39" applyNumberFormat="1" applyFont="1" applyFill="1" applyBorder="1" applyAlignment="1">
      <alignment horizontal="right" vertical="center"/>
    </xf>
    <xf numFmtId="49" fontId="28" fillId="27" borderId="27" xfId="39" applyNumberFormat="1" applyFont="1" applyFill="1" applyBorder="1" applyAlignment="1">
      <alignment horizontal="right" vertical="center"/>
    </xf>
    <xf numFmtId="3" fontId="28" fillId="27" borderId="27" xfId="39" applyNumberFormat="1" applyFont="1" applyFill="1" applyBorder="1" applyAlignment="1">
      <alignment horizontal="right" vertical="center"/>
    </xf>
    <xf numFmtId="3" fontId="28" fillId="27" borderId="27" xfId="49" applyNumberFormat="1" applyFont="1" applyFill="1" applyBorder="1" applyAlignment="1">
      <alignment horizontal="right" vertical="center"/>
    </xf>
    <xf numFmtId="9" fontId="28" fillId="27" borderId="27" xfId="45" applyFont="1" applyFill="1" applyBorder="1" applyAlignment="1">
      <alignment horizontal="right" vertical="center"/>
    </xf>
    <xf numFmtId="41" fontId="36" fillId="0" borderId="10" xfId="51" applyFont="1" applyFill="1" applyBorder="1" applyAlignment="1">
      <alignment horizontal="right" vertical="center" wrapText="1"/>
    </xf>
    <xf numFmtId="0" fontId="36" fillId="0" borderId="10" xfId="39" applyFont="1" applyFill="1" applyBorder="1" applyAlignment="1">
      <alignment horizontal="right" vertical="center" wrapText="1"/>
    </xf>
    <xf numFmtId="49" fontId="36" fillId="0" borderId="27" xfId="39" applyNumberFormat="1" applyFont="1" applyBorder="1" applyAlignment="1">
      <alignment horizontal="right" vertical="center"/>
    </xf>
    <xf numFmtId="3" fontId="36" fillId="0" borderId="27" xfId="39" applyNumberFormat="1" applyFont="1" applyBorder="1" applyAlignment="1">
      <alignment horizontal="right" vertical="center"/>
    </xf>
    <xf numFmtId="3" fontId="25" fillId="0" borderId="27" xfId="49" applyNumberFormat="1" applyFont="1" applyFill="1" applyBorder="1" applyAlignment="1">
      <alignment horizontal="right" vertical="center"/>
    </xf>
    <xf numFmtId="9" fontId="25" fillId="0" borderId="27" xfId="45" applyFont="1" applyFill="1" applyBorder="1" applyAlignment="1">
      <alignment horizontal="right" vertical="center"/>
    </xf>
    <xf numFmtId="3" fontId="25" fillId="0" borderId="10" xfId="45" applyNumberFormat="1" applyFont="1" applyFill="1" applyBorder="1" applyAlignment="1">
      <alignment horizontal="right" vertical="center"/>
    </xf>
    <xf numFmtId="41" fontId="25" fillId="0" borderId="10" xfId="51" applyFont="1" applyFill="1" applyBorder="1" applyAlignment="1">
      <alignment horizontal="right" vertical="center"/>
    </xf>
    <xf numFmtId="0" fontId="25" fillId="0" borderId="10" xfId="39" applyFont="1" applyFill="1" applyBorder="1" applyAlignment="1">
      <alignment horizontal="right" vertical="center"/>
    </xf>
    <xf numFmtId="41" fontId="46" fillId="0" borderId="10" xfId="51" applyFont="1" applyFill="1" applyBorder="1" applyAlignment="1">
      <alignment horizontal="right" vertical="center"/>
    </xf>
    <xf numFmtId="49" fontId="37" fillId="0" borderId="27" xfId="39" applyNumberFormat="1" applyFont="1" applyBorder="1" applyAlignment="1">
      <alignment horizontal="right" vertical="center"/>
    </xf>
    <xf numFmtId="3" fontId="37" fillId="0" borderId="27" xfId="39" applyNumberFormat="1" applyFont="1" applyBorder="1" applyAlignment="1">
      <alignment horizontal="right" vertical="center"/>
    </xf>
    <xf numFmtId="3" fontId="37" fillId="0" borderId="27" xfId="49" applyNumberFormat="1" applyFont="1" applyFill="1" applyBorder="1" applyAlignment="1">
      <alignment horizontal="right" vertical="center"/>
    </xf>
    <xf numFmtId="9" fontId="36" fillId="0" borderId="27" xfId="45" applyFont="1" applyFill="1" applyBorder="1" applyAlignment="1">
      <alignment horizontal="right" vertical="center"/>
    </xf>
    <xf numFmtId="3" fontId="36" fillId="0" borderId="27" xfId="49" applyNumberFormat="1" applyFont="1" applyFill="1" applyBorder="1" applyAlignment="1">
      <alignment horizontal="right" vertical="center"/>
    </xf>
    <xf numFmtId="3" fontId="36" fillId="0" borderId="10" xfId="45" applyNumberFormat="1" applyFont="1" applyFill="1" applyBorder="1" applyAlignment="1">
      <alignment horizontal="right" vertical="center"/>
    </xf>
    <xf numFmtId="41" fontId="49" fillId="0" borderId="10" xfId="51" applyFont="1" applyFill="1" applyBorder="1" applyAlignment="1">
      <alignment horizontal="right" vertical="center"/>
    </xf>
    <xf numFmtId="49" fontId="36" fillId="0" borderId="28" xfId="39" applyNumberFormat="1" applyFont="1" applyBorder="1" applyAlignment="1">
      <alignment horizontal="right" vertical="center"/>
    </xf>
    <xf numFmtId="3" fontId="36" fillId="0" borderId="28" xfId="39" applyNumberFormat="1" applyFont="1" applyBorder="1" applyAlignment="1">
      <alignment horizontal="right" vertical="center"/>
    </xf>
    <xf numFmtId="3" fontId="37" fillId="0" borderId="28" xfId="49" applyNumberFormat="1" applyFont="1" applyFill="1" applyBorder="1" applyAlignment="1">
      <alignment horizontal="right" vertical="center"/>
    </xf>
    <xf numFmtId="9" fontId="36" fillId="0" borderId="28" xfId="45" applyFont="1" applyFill="1" applyBorder="1" applyAlignment="1">
      <alignment horizontal="right" vertical="center"/>
    </xf>
    <xf numFmtId="3" fontId="36" fillId="0" borderId="28" xfId="49" applyNumberFormat="1" applyFont="1" applyFill="1" applyBorder="1" applyAlignment="1">
      <alignment horizontal="right" vertical="center"/>
    </xf>
    <xf numFmtId="9" fontId="36" fillId="0" borderId="0" xfId="45" applyFont="1" applyFill="1" applyBorder="1" applyAlignment="1">
      <alignment horizontal="right" vertical="center"/>
    </xf>
    <xf numFmtId="41" fontId="36" fillId="0" borderId="0" xfId="51" applyFont="1" applyFill="1" applyBorder="1" applyAlignment="1">
      <alignment horizontal="right" vertical="center"/>
    </xf>
    <xf numFmtId="0" fontId="36" fillId="0" borderId="0" xfId="39" applyFont="1" applyFill="1" applyBorder="1" applyAlignment="1">
      <alignment horizontal="right" vertical="center"/>
    </xf>
    <xf numFmtId="49" fontId="38" fillId="30" borderId="27" xfId="39" applyNumberFormat="1" applyFont="1" applyFill="1" applyBorder="1" applyAlignment="1">
      <alignment horizontal="right" vertical="center"/>
    </xf>
    <xf numFmtId="3" fontId="38" fillId="30" borderId="27" xfId="39" applyNumberFormat="1" applyFont="1" applyFill="1" applyBorder="1" applyAlignment="1">
      <alignment horizontal="right" vertical="center"/>
    </xf>
    <xf numFmtId="3" fontId="38" fillId="30" borderId="27" xfId="49" applyNumberFormat="1" applyFont="1" applyFill="1" applyBorder="1" applyAlignment="1">
      <alignment horizontal="right" vertical="center"/>
    </xf>
    <xf numFmtId="9" fontId="38" fillId="30" borderId="27" xfId="45" applyFont="1" applyFill="1" applyBorder="1" applyAlignment="1">
      <alignment horizontal="right" vertical="center"/>
    </xf>
    <xf numFmtId="41" fontId="38" fillId="0" borderId="0" xfId="51" applyFont="1" applyFill="1" applyBorder="1" applyAlignment="1">
      <alignment horizontal="right" vertical="center"/>
    </xf>
    <xf numFmtId="0" fontId="38" fillId="0" borderId="0" xfId="39" applyFont="1" applyFill="1" applyBorder="1" applyAlignment="1">
      <alignment horizontal="right" vertical="center"/>
    </xf>
    <xf numFmtId="49" fontId="30" fillId="30" borderId="27" xfId="39" applyNumberFormat="1" applyFont="1" applyFill="1" applyBorder="1" applyAlignment="1">
      <alignment horizontal="right" vertical="center"/>
    </xf>
    <xf numFmtId="3" fontId="30" fillId="30" borderId="27" xfId="39" applyNumberFormat="1" applyFont="1" applyFill="1" applyBorder="1" applyAlignment="1">
      <alignment horizontal="right" vertical="center"/>
    </xf>
    <xf numFmtId="3" fontId="30" fillId="30" borderId="27" xfId="49" applyNumberFormat="1" applyFont="1" applyFill="1" applyBorder="1" applyAlignment="1">
      <alignment horizontal="right" vertical="center"/>
    </xf>
    <xf numFmtId="9" fontId="30" fillId="30" borderId="27" xfId="45" applyFont="1" applyFill="1" applyBorder="1" applyAlignment="1">
      <alignment horizontal="right" vertical="center"/>
    </xf>
    <xf numFmtId="41" fontId="38" fillId="0" borderId="0" xfId="51" applyFont="1" applyFill="1" applyAlignment="1">
      <alignment horizontal="right" vertical="center"/>
    </xf>
    <xf numFmtId="0" fontId="38" fillId="0" borderId="0" xfId="39" applyFont="1" applyFill="1" applyAlignment="1">
      <alignment horizontal="right" vertical="center"/>
    </xf>
    <xf numFmtId="49" fontId="25" fillId="0" borderId="27" xfId="39" applyNumberFormat="1" applyFont="1" applyBorder="1" applyAlignment="1">
      <alignment horizontal="right" vertical="center"/>
    </xf>
    <xf numFmtId="3" fontId="25" fillId="0" borderId="27" xfId="39" applyNumberFormat="1" applyFont="1" applyBorder="1" applyAlignment="1">
      <alignment horizontal="right" vertical="center"/>
    </xf>
    <xf numFmtId="3" fontId="25" fillId="0" borderId="27" xfId="49" applyNumberFormat="1" applyFont="1" applyBorder="1" applyAlignment="1">
      <alignment horizontal="right" vertical="center"/>
    </xf>
    <xf numFmtId="9" fontId="25" fillId="0" borderId="27" xfId="45" applyFont="1" applyBorder="1" applyAlignment="1">
      <alignment horizontal="right" vertical="center"/>
    </xf>
    <xf numFmtId="49" fontId="37" fillId="0" borderId="27" xfId="39" applyNumberFormat="1" applyFont="1" applyFill="1" applyBorder="1" applyAlignment="1">
      <alignment horizontal="right" vertical="center"/>
    </xf>
    <xf numFmtId="3" fontId="37" fillId="0" borderId="27" xfId="39" applyNumberFormat="1" applyFont="1" applyFill="1" applyBorder="1" applyAlignment="1">
      <alignment horizontal="right" vertical="center"/>
    </xf>
    <xf numFmtId="9" fontId="37" fillId="0" borderId="27" xfId="45" applyFont="1" applyFill="1" applyBorder="1" applyAlignment="1">
      <alignment horizontal="right" vertical="center"/>
    </xf>
    <xf numFmtId="3" fontId="38" fillId="28" borderId="27" xfId="49" applyNumberFormat="1" applyFont="1" applyFill="1" applyBorder="1" applyAlignment="1">
      <alignment horizontal="right" vertical="center"/>
    </xf>
    <xf numFmtId="9" fontId="38" fillId="28" borderId="27" xfId="45" applyFont="1" applyFill="1" applyBorder="1" applyAlignment="1">
      <alignment horizontal="right" vertical="center"/>
    </xf>
    <xf numFmtId="49" fontId="36" fillId="0" borderId="27" xfId="39" applyNumberFormat="1" applyFont="1" applyFill="1" applyBorder="1" applyAlignment="1">
      <alignment horizontal="right" vertical="center"/>
    </xf>
    <xf numFmtId="3" fontId="36" fillId="0" borderId="27" xfId="39" applyNumberFormat="1" applyFont="1" applyFill="1" applyBorder="1" applyAlignment="1">
      <alignment horizontal="right" vertical="center"/>
    </xf>
    <xf numFmtId="49" fontId="25" fillId="27" borderId="27" xfId="39" applyNumberFormat="1" applyFont="1" applyFill="1" applyBorder="1" applyAlignment="1">
      <alignment horizontal="right" vertical="center"/>
    </xf>
    <xf numFmtId="3" fontId="25" fillId="27" borderId="27" xfId="39" applyNumberFormat="1" applyFont="1" applyFill="1" applyBorder="1" applyAlignment="1">
      <alignment horizontal="right" vertical="center"/>
    </xf>
    <xf numFmtId="3" fontId="25" fillId="27" borderId="27" xfId="49" applyNumberFormat="1" applyFont="1" applyFill="1" applyBorder="1" applyAlignment="1">
      <alignment horizontal="right" vertical="center"/>
    </xf>
    <xf numFmtId="9" fontId="25" fillId="27" borderId="27" xfId="45" applyFont="1" applyFill="1" applyBorder="1" applyAlignment="1">
      <alignment horizontal="right" vertical="center"/>
    </xf>
    <xf numFmtId="41" fontId="25" fillId="0" borderId="0" xfId="51" applyFont="1" applyFill="1" applyAlignment="1">
      <alignment horizontal="right" vertical="center"/>
    </xf>
    <xf numFmtId="0" fontId="25" fillId="0" borderId="0" xfId="39" applyFont="1" applyFill="1" applyAlignment="1">
      <alignment horizontal="right" vertical="center"/>
    </xf>
    <xf numFmtId="49" fontId="36" fillId="0" borderId="32" xfId="39" applyNumberFormat="1" applyFont="1" applyBorder="1" applyAlignment="1">
      <alignment horizontal="right" vertical="center" wrapText="1"/>
    </xf>
    <xf numFmtId="3" fontId="36" fillId="0" borderId="32" xfId="39" applyNumberFormat="1" applyFont="1" applyBorder="1" applyAlignment="1">
      <alignment horizontal="right" vertical="center" wrapText="1"/>
    </xf>
    <xf numFmtId="3" fontId="36" fillId="0" borderId="32" xfId="49" applyNumberFormat="1" applyFont="1" applyFill="1" applyBorder="1" applyAlignment="1">
      <alignment horizontal="right" vertical="center" wrapText="1"/>
    </xf>
    <xf numFmtId="9" fontId="36" fillId="0" borderId="32" xfId="45" applyFont="1" applyFill="1" applyBorder="1" applyAlignment="1">
      <alignment horizontal="right" vertical="center" wrapText="1"/>
    </xf>
    <xf numFmtId="49" fontId="28" fillId="29" borderId="31" xfId="39" applyNumberFormat="1" applyFont="1" applyFill="1" applyBorder="1" applyAlignment="1">
      <alignment horizontal="right" vertical="center"/>
    </xf>
    <xf numFmtId="3" fontId="28" fillId="29" borderId="31" xfId="39" applyNumberFormat="1" applyFont="1" applyFill="1" applyBorder="1" applyAlignment="1">
      <alignment horizontal="right" vertical="center"/>
    </xf>
    <xf numFmtId="3" fontId="28" fillId="29" borderId="31" xfId="49" applyNumberFormat="1" applyFont="1" applyFill="1" applyBorder="1" applyAlignment="1">
      <alignment horizontal="right" vertical="center"/>
    </xf>
    <xf numFmtId="9" fontId="28" fillId="29" borderId="31" xfId="45" applyFont="1" applyFill="1" applyBorder="1" applyAlignment="1">
      <alignment horizontal="right" vertical="center"/>
    </xf>
    <xf numFmtId="49" fontId="26" fillId="0" borderId="10" xfId="39" applyNumberFormat="1" applyFont="1" applyFill="1" applyBorder="1" applyAlignment="1">
      <alignment horizontal="right" vertical="center"/>
    </xf>
    <xf numFmtId="3" fontId="26" fillId="0" borderId="10" xfId="39" applyNumberFormat="1" applyFont="1" applyFill="1" applyBorder="1" applyAlignment="1">
      <alignment horizontal="right" vertical="center"/>
    </xf>
    <xf numFmtId="3" fontId="26" fillId="0" borderId="10" xfId="49" applyNumberFormat="1" applyFont="1" applyFill="1" applyBorder="1" applyAlignment="1">
      <alignment horizontal="right" vertical="center"/>
    </xf>
    <xf numFmtId="49" fontId="36" fillId="0" borderId="10" xfId="39" applyNumberFormat="1" applyFont="1" applyFill="1" applyBorder="1" applyAlignment="1">
      <alignment horizontal="right" vertical="center"/>
    </xf>
    <xf numFmtId="3" fontId="36" fillId="0" borderId="10" xfId="39" applyNumberFormat="1" applyFont="1" applyFill="1" applyBorder="1" applyAlignment="1">
      <alignment horizontal="right" vertical="center"/>
    </xf>
    <xf numFmtId="3" fontId="36" fillId="0" borderId="10" xfId="49" applyNumberFormat="1" applyFont="1" applyFill="1" applyBorder="1" applyAlignment="1">
      <alignment horizontal="right" vertical="center"/>
    </xf>
    <xf numFmtId="9" fontId="36" fillId="0" borderId="10" xfId="45" applyFont="1" applyFill="1" applyBorder="1" applyAlignment="1">
      <alignment horizontal="right" vertical="center"/>
    </xf>
    <xf numFmtId="49" fontId="36" fillId="0" borderId="0" xfId="39" applyNumberFormat="1" applyFont="1" applyAlignment="1">
      <alignment horizontal="right" vertical="center"/>
    </xf>
    <xf numFmtId="3" fontId="36" fillId="0" borderId="0" xfId="39" applyNumberFormat="1" applyFont="1" applyAlignment="1">
      <alignment horizontal="right" vertical="center"/>
    </xf>
    <xf numFmtId="9" fontId="36" fillId="0" borderId="0" xfId="45" applyFont="1" applyAlignment="1">
      <alignment horizontal="right" vertical="center"/>
    </xf>
    <xf numFmtId="3" fontId="25" fillId="0" borderId="0" xfId="39" applyNumberFormat="1" applyFont="1" applyAlignment="1">
      <alignment horizontal="right" vertical="center"/>
    </xf>
    <xf numFmtId="3" fontId="36" fillId="0" borderId="0" xfId="45" applyNumberFormat="1" applyFont="1" applyAlignment="1">
      <alignment horizontal="right" vertical="center"/>
    </xf>
    <xf numFmtId="49" fontId="25" fillId="0" borderId="0" xfId="39" applyNumberFormat="1" applyFont="1" applyAlignment="1">
      <alignment horizontal="right" vertical="center"/>
    </xf>
    <xf numFmtId="9" fontId="25" fillId="0" borderId="0" xfId="45" applyFont="1" applyAlignment="1">
      <alignment horizontal="right" vertical="center"/>
    </xf>
    <xf numFmtId="3" fontId="25" fillId="0" borderId="0" xfId="45" applyNumberFormat="1" applyFont="1" applyAlignment="1">
      <alignment horizontal="right" vertical="center"/>
    </xf>
    <xf numFmtId="0" fontId="36" fillId="0" borderId="0" xfId="39" applyFont="1" applyFill="1" applyAlignment="1">
      <alignment horizontal="center" vertical="center"/>
    </xf>
    <xf numFmtId="0" fontId="36" fillId="0" borderId="0" xfId="0" applyFont="1"/>
    <xf numFmtId="41" fontId="36" fillId="0" borderId="0" xfId="51" applyFont="1"/>
    <xf numFmtId="41" fontId="36" fillId="32" borderId="0" xfId="51" applyFont="1" applyFill="1"/>
    <xf numFmtId="0" fontId="25" fillId="33" borderId="10" xfId="0" applyFont="1" applyFill="1" applyBorder="1" applyAlignment="1">
      <alignment horizontal="center"/>
    </xf>
    <xf numFmtId="169" fontId="25" fillId="33" borderId="10" xfId="51" applyNumberFormat="1" applyFont="1" applyFill="1" applyBorder="1" applyAlignment="1">
      <alignment horizontal="center"/>
    </xf>
    <xf numFmtId="0" fontId="25" fillId="0" borderId="10" xfId="0" applyFont="1" applyBorder="1"/>
    <xf numFmtId="41" fontId="25" fillId="0" borderId="10" xfId="51" applyFont="1" applyBorder="1"/>
    <xf numFmtId="0" fontId="25" fillId="0" borderId="0" xfId="0" applyFont="1"/>
    <xf numFmtId="0" fontId="36" fillId="0" borderId="30" xfId="0" applyFont="1" applyBorder="1"/>
    <xf numFmtId="41" fontId="36" fillId="32" borderId="30" xfId="51" applyFont="1" applyFill="1" applyBorder="1"/>
    <xf numFmtId="0" fontId="36" fillId="0" borderId="27" xfId="0" applyFont="1" applyBorder="1"/>
    <xf numFmtId="41" fontId="36" fillId="32" borderId="27" xfId="51" applyFont="1" applyFill="1" applyBorder="1"/>
    <xf numFmtId="0" fontId="36" fillId="0" borderId="28" xfId="0" applyFont="1" applyBorder="1"/>
    <xf numFmtId="41" fontId="36" fillId="32" borderId="28" xfId="51" applyFont="1" applyFill="1" applyBorder="1"/>
    <xf numFmtId="0" fontId="36" fillId="0" borderId="31" xfId="0" applyFont="1" applyBorder="1"/>
    <xf numFmtId="41" fontId="36" fillId="32" borderId="31" xfId="51" applyFont="1" applyFill="1" applyBorder="1"/>
    <xf numFmtId="0" fontId="36" fillId="0" borderId="34" xfId="0" applyFont="1" applyBorder="1"/>
    <xf numFmtId="41" fontId="36" fillId="0" borderId="34" xfId="51" applyFont="1" applyBorder="1"/>
    <xf numFmtId="41" fontId="36" fillId="0" borderId="27" xfId="51" applyFont="1" applyBorder="1"/>
    <xf numFmtId="41" fontId="36" fillId="0" borderId="28" xfId="51" applyFont="1" applyBorder="1"/>
    <xf numFmtId="41" fontId="51" fillId="0" borderId="10" xfId="51" applyFont="1" applyBorder="1"/>
    <xf numFmtId="41" fontId="36" fillId="0" borderId="10" xfId="51" applyFont="1" applyBorder="1"/>
    <xf numFmtId="0" fontId="25" fillId="0" borderId="34" xfId="0" applyFont="1" applyBorder="1"/>
    <xf numFmtId="9" fontId="36" fillId="0" borderId="27" xfId="51" applyNumberFormat="1" applyFont="1" applyBorder="1"/>
    <xf numFmtId="41" fontId="36" fillId="0" borderId="36" xfId="51" applyFont="1" applyBorder="1" applyAlignment="1"/>
    <xf numFmtId="166" fontId="36" fillId="0" borderId="27" xfId="45" applyNumberFormat="1" applyFont="1" applyBorder="1"/>
    <xf numFmtId="9" fontId="36" fillId="0" borderId="27" xfId="45" applyFont="1" applyBorder="1"/>
    <xf numFmtId="0" fontId="36" fillId="0" borderId="32" xfId="0" applyFont="1" applyBorder="1"/>
    <xf numFmtId="41" fontId="36" fillId="0" borderId="32" xfId="51" applyFont="1" applyBorder="1"/>
    <xf numFmtId="0" fontId="36" fillId="0" borderId="31" xfId="39" applyFont="1" applyBorder="1" applyAlignment="1">
      <alignment horizontal="center" vertical="center"/>
    </xf>
    <xf numFmtId="49" fontId="36" fillId="0" borderId="31" xfId="39" applyNumberFormat="1" applyFont="1" applyBorder="1" applyAlignment="1">
      <alignment vertical="center"/>
    </xf>
    <xf numFmtId="49" fontId="36" fillId="0" borderId="31" xfId="39" applyNumberFormat="1" applyFont="1" applyBorder="1" applyAlignment="1">
      <alignment horizontal="right" vertical="center"/>
    </xf>
    <xf numFmtId="3" fontId="36" fillId="0" borderId="31" xfId="39" applyNumberFormat="1" applyFont="1" applyBorder="1" applyAlignment="1">
      <alignment horizontal="right" vertical="center"/>
    </xf>
    <xf numFmtId="3" fontId="36" fillId="0" borderId="31" xfId="49" applyNumberFormat="1" applyFont="1" applyFill="1" applyBorder="1" applyAlignment="1">
      <alignment horizontal="right" vertical="center"/>
    </xf>
    <xf numFmtId="9" fontId="36" fillId="0" borderId="31" xfId="45" applyFont="1" applyFill="1" applyBorder="1" applyAlignment="1">
      <alignment horizontal="right" vertical="center"/>
    </xf>
    <xf numFmtId="3" fontId="25" fillId="0" borderId="31" xfId="49" applyNumberFormat="1" applyFont="1" applyFill="1" applyBorder="1" applyAlignment="1">
      <alignment horizontal="right" vertical="center"/>
    </xf>
    <xf numFmtId="3" fontId="36" fillId="0" borderId="0" xfId="45" applyNumberFormat="1" applyFont="1" applyFill="1" applyBorder="1" applyAlignment="1">
      <alignment horizontal="right" vertical="center"/>
    </xf>
    <xf numFmtId="41" fontId="25" fillId="0" borderId="0" xfId="51" applyFont="1" applyFill="1" applyBorder="1" applyAlignment="1">
      <alignment horizontal="right" vertical="center"/>
    </xf>
    <xf numFmtId="0" fontId="25" fillId="0" borderId="0" xfId="39" applyFont="1" applyFill="1" applyBorder="1" applyAlignment="1">
      <alignment horizontal="right" vertical="center"/>
    </xf>
    <xf numFmtId="41" fontId="49" fillId="0" borderId="0" xfId="51" applyFont="1" applyFill="1" applyBorder="1" applyAlignment="1">
      <alignment horizontal="right" vertical="center"/>
    </xf>
    <xf numFmtId="41" fontId="36" fillId="0" borderId="10" xfId="39" applyNumberFormat="1" applyFont="1" applyFill="1" applyBorder="1" applyAlignment="1">
      <alignment horizontal="right" vertical="center"/>
    </xf>
    <xf numFmtId="0" fontId="36" fillId="40" borderId="28" xfId="39" applyFont="1" applyFill="1" applyBorder="1" applyAlignment="1">
      <alignment horizontal="center" vertical="center"/>
    </xf>
    <xf numFmtId="49" fontId="37" fillId="40" borderId="27" xfId="39" applyNumberFormat="1" applyFont="1" applyFill="1" applyBorder="1" applyAlignment="1">
      <alignment vertical="center"/>
    </xf>
    <xf numFmtId="49" fontId="36" fillId="40" borderId="28" xfId="39" applyNumberFormat="1" applyFont="1" applyFill="1" applyBorder="1" applyAlignment="1">
      <alignment horizontal="right" vertical="center"/>
    </xf>
    <xf numFmtId="3" fontId="36" fillId="40" borderId="28" xfId="39" applyNumberFormat="1" applyFont="1" applyFill="1" applyBorder="1" applyAlignment="1">
      <alignment horizontal="right" vertical="center"/>
    </xf>
    <xf numFmtId="3" fontId="38" fillId="40" borderId="28" xfId="49" applyNumberFormat="1" applyFont="1" applyFill="1" applyBorder="1" applyAlignment="1">
      <alignment horizontal="right" vertical="center"/>
    </xf>
    <xf numFmtId="9" fontId="38" fillId="40" borderId="28" xfId="45" applyFont="1" applyFill="1" applyBorder="1" applyAlignment="1">
      <alignment horizontal="right" vertical="center"/>
    </xf>
    <xf numFmtId="9" fontId="26" fillId="0" borderId="10" xfId="45" applyFont="1" applyFill="1" applyBorder="1" applyAlignment="1">
      <alignment horizontal="right" vertical="center"/>
    </xf>
    <xf numFmtId="0" fontId="38" fillId="35" borderId="27" xfId="39" applyFont="1" applyFill="1" applyBorder="1" applyAlignment="1">
      <alignment horizontal="center" vertical="center"/>
    </xf>
    <xf numFmtId="49" fontId="38" fillId="35" borderId="27" xfId="39" applyNumberFormat="1" applyFont="1" applyFill="1" applyBorder="1" applyAlignment="1">
      <alignment horizontal="right" vertical="center"/>
    </xf>
    <xf numFmtId="3" fontId="38" fillId="35" borderId="27" xfId="39" applyNumberFormat="1" applyFont="1" applyFill="1" applyBorder="1" applyAlignment="1">
      <alignment horizontal="right" vertical="center"/>
    </xf>
    <xf numFmtId="3" fontId="38" fillId="35" borderId="27" xfId="49" applyNumberFormat="1" applyFont="1" applyFill="1" applyBorder="1" applyAlignment="1">
      <alignment horizontal="right" vertical="center"/>
    </xf>
    <xf numFmtId="9" fontId="38" fillId="35" borderId="27" xfId="45" applyFont="1" applyFill="1" applyBorder="1" applyAlignment="1">
      <alignment horizontal="right" vertical="center"/>
    </xf>
    <xf numFmtId="0" fontId="36" fillId="35" borderId="27" xfId="39" applyFont="1" applyFill="1" applyBorder="1" applyAlignment="1">
      <alignment vertical="center"/>
    </xf>
    <xf numFmtId="3" fontId="36" fillId="35" borderId="27" xfId="49" applyNumberFormat="1" applyFont="1" applyFill="1" applyBorder="1" applyAlignment="1">
      <alignment horizontal="right" vertical="center"/>
    </xf>
    <xf numFmtId="0" fontId="36" fillId="0" borderId="31" xfId="39" applyFont="1" applyBorder="1" applyAlignment="1">
      <alignment horizontal="left" vertical="center" wrapText="1"/>
    </xf>
    <xf numFmtId="49" fontId="36" fillId="0" borderId="31" xfId="39" applyNumberFormat="1" applyFont="1" applyBorder="1" applyAlignment="1">
      <alignment horizontal="right" vertical="center" wrapText="1"/>
    </xf>
    <xf numFmtId="3" fontId="36" fillId="0" borderId="31" xfId="39" applyNumberFormat="1" applyFont="1" applyBorder="1" applyAlignment="1">
      <alignment horizontal="right" vertical="center" wrapText="1"/>
    </xf>
    <xf numFmtId="3" fontId="36" fillId="0" borderId="31" xfId="49" applyNumberFormat="1" applyFont="1" applyFill="1" applyBorder="1" applyAlignment="1">
      <alignment horizontal="right" vertical="center" wrapText="1"/>
    </xf>
    <xf numFmtId="9" fontId="36" fillId="0" borderId="31" xfId="45" applyFont="1" applyFill="1" applyBorder="1" applyAlignment="1">
      <alignment horizontal="right" vertical="center" wrapText="1"/>
    </xf>
    <xf numFmtId="3" fontId="38" fillId="31" borderId="27" xfId="49" applyNumberFormat="1" applyFont="1" applyFill="1" applyBorder="1" applyAlignment="1">
      <alignment horizontal="right" vertical="center"/>
    </xf>
    <xf numFmtId="9" fontId="37" fillId="31" borderId="27" xfId="45" applyFont="1" applyFill="1" applyBorder="1" applyAlignment="1">
      <alignment horizontal="right" vertical="center"/>
    </xf>
    <xf numFmtId="9" fontId="38" fillId="31" borderId="27" xfId="45" applyFont="1" applyFill="1" applyBorder="1" applyAlignment="1">
      <alignment horizontal="right" vertical="center"/>
    </xf>
    <xf numFmtId="0" fontId="38" fillId="31" borderId="27" xfId="39" applyFont="1" applyFill="1" applyBorder="1" applyAlignment="1">
      <alignment horizontal="center" vertical="center"/>
    </xf>
    <xf numFmtId="0" fontId="38" fillId="31" borderId="27" xfId="39" applyFont="1" applyFill="1" applyBorder="1" applyAlignment="1">
      <alignment vertical="center"/>
    </xf>
    <xf numFmtId="49" fontId="38" fillId="31" borderId="27" xfId="39" applyNumberFormat="1" applyFont="1" applyFill="1" applyBorder="1" applyAlignment="1">
      <alignment horizontal="right" vertical="center"/>
    </xf>
    <xf numFmtId="3" fontId="38" fillId="31" borderId="27" xfId="39" applyNumberFormat="1" applyFont="1" applyFill="1" applyBorder="1" applyAlignment="1">
      <alignment horizontal="right" vertical="center"/>
    </xf>
    <xf numFmtId="9" fontId="36" fillId="41" borderId="27" xfId="45" applyFont="1" applyFill="1" applyBorder="1" applyAlignment="1">
      <alignment horizontal="right" vertical="center"/>
    </xf>
    <xf numFmtId="0" fontId="36" fillId="41" borderId="27" xfId="39" applyFont="1" applyFill="1" applyBorder="1" applyAlignment="1">
      <alignment horizontal="center" vertical="center"/>
    </xf>
    <xf numFmtId="0" fontId="36" fillId="41" borderId="27" xfId="39" applyFont="1" applyFill="1" applyBorder="1" applyAlignment="1">
      <alignment vertical="center"/>
    </xf>
    <xf numFmtId="49" fontId="36" fillId="41" borderId="27" xfId="39" applyNumberFormat="1" applyFont="1" applyFill="1" applyBorder="1" applyAlignment="1">
      <alignment horizontal="right" vertical="center"/>
    </xf>
    <xf numFmtId="3" fontId="36" fillId="41" borderId="27" xfId="39" applyNumberFormat="1" applyFont="1" applyFill="1" applyBorder="1" applyAlignment="1">
      <alignment horizontal="right" vertical="center"/>
    </xf>
    <xf numFmtId="3" fontId="36" fillId="41" borderId="27" xfId="49" applyNumberFormat="1" applyFont="1" applyFill="1" applyBorder="1" applyAlignment="1">
      <alignment horizontal="right" vertical="center"/>
    </xf>
    <xf numFmtId="3" fontId="51" fillId="33" borderId="30" xfId="39" applyNumberFormat="1" applyFont="1" applyFill="1" applyBorder="1" applyAlignment="1">
      <alignment horizontal="right" vertical="center"/>
    </xf>
    <xf numFmtId="0" fontId="28" fillId="0" borderId="0" xfId="39" applyFont="1" applyFill="1" applyBorder="1" applyAlignment="1">
      <alignment horizontal="left" vertical="center"/>
    </xf>
    <xf numFmtId="49" fontId="28" fillId="0" borderId="0" xfId="39" applyNumberFormat="1" applyFont="1" applyFill="1" applyBorder="1" applyAlignment="1">
      <alignment horizontal="left" vertical="center"/>
    </xf>
    <xf numFmtId="3" fontId="28" fillId="0" borderId="0" xfId="39" applyNumberFormat="1" applyFont="1" applyFill="1" applyBorder="1" applyAlignment="1">
      <alignment horizontal="left" vertical="center"/>
    </xf>
    <xf numFmtId="9" fontId="28" fillId="0" borderId="0" xfId="45" applyFont="1" applyFill="1" applyBorder="1" applyAlignment="1">
      <alignment horizontal="left" vertical="center"/>
    </xf>
    <xf numFmtId="3" fontId="26" fillId="0" borderId="0" xfId="39" applyNumberFormat="1" applyFont="1" applyFill="1" applyBorder="1" applyAlignment="1">
      <alignment horizontal="left" vertical="center"/>
    </xf>
    <xf numFmtId="0" fontId="26" fillId="0" borderId="0" xfId="39" applyFont="1" applyFill="1" applyBorder="1" applyAlignment="1">
      <alignment horizontal="left" vertical="center"/>
    </xf>
    <xf numFmtId="0" fontId="27" fillId="0" borderId="0" xfId="0" applyFont="1" applyAlignment="1">
      <alignment horizontal="left" vertical="top"/>
    </xf>
    <xf numFmtId="3" fontId="36" fillId="0" borderId="10" xfId="0" applyNumberFormat="1" applyFont="1" applyBorder="1"/>
    <xf numFmtId="0" fontId="36" fillId="0" borderId="10" xfId="0" applyFont="1" applyBorder="1"/>
    <xf numFmtId="9" fontId="36" fillId="0" borderId="10" xfId="45" applyFont="1" applyBorder="1"/>
    <xf numFmtId="9" fontId="36" fillId="0" borderId="10" xfId="0" applyNumberFormat="1" applyFont="1" applyBorder="1"/>
    <xf numFmtId="0" fontId="25" fillId="42" borderId="10" xfId="0" applyFont="1" applyFill="1" applyBorder="1" applyAlignment="1">
      <alignment horizontal="center"/>
    </xf>
    <xf numFmtId="166" fontId="38" fillId="30" borderId="27" xfId="45" applyNumberFormat="1" applyFont="1" applyFill="1" applyBorder="1" applyAlignment="1">
      <alignment horizontal="right" vertical="center"/>
    </xf>
    <xf numFmtId="3" fontId="36" fillId="0" borderId="10" xfId="45" applyNumberFormat="1" applyFont="1" applyBorder="1"/>
    <xf numFmtId="0" fontId="36" fillId="0" borderId="10" xfId="0" applyFont="1" applyBorder="1" applyAlignment="1">
      <alignment horizontal="center" wrapText="1"/>
    </xf>
    <xf numFmtId="172" fontId="36" fillId="0" borderId="10" xfId="49" applyNumberFormat="1" applyFont="1" applyBorder="1"/>
    <xf numFmtId="0" fontId="28" fillId="0" borderId="0" xfId="0" applyFont="1" applyAlignment="1">
      <alignment horizontal="center" vertical="top"/>
    </xf>
    <xf numFmtId="0" fontId="28" fillId="0" borderId="0" xfId="0" applyFont="1" applyAlignment="1">
      <alignment vertical="top"/>
    </xf>
    <xf numFmtId="1" fontId="28" fillId="0" borderId="10" xfId="52" applyNumberFormat="1" applyFont="1" applyBorder="1" applyAlignment="1">
      <alignment horizontal="center" vertical="top" wrapText="1"/>
    </xf>
    <xf numFmtId="0" fontId="28" fillId="0" borderId="10" xfId="0" applyFont="1" applyBorder="1" applyAlignment="1">
      <alignment horizontal="center" vertical="top" wrapText="1"/>
    </xf>
    <xf numFmtId="172" fontId="28" fillId="0" borderId="10" xfId="49" applyNumberFormat="1" applyFont="1" applyBorder="1" applyAlignment="1">
      <alignment horizontal="center" vertical="top" wrapText="1"/>
    </xf>
    <xf numFmtId="172" fontId="28" fillId="0" borderId="11" xfId="49" applyNumberFormat="1" applyFont="1" applyBorder="1" applyAlignment="1">
      <alignment horizontal="center" vertical="top" wrapText="1"/>
    </xf>
    <xf numFmtId="172" fontId="28" fillId="36" borderId="10" xfId="49" applyNumberFormat="1" applyFont="1" applyFill="1" applyBorder="1" applyAlignment="1">
      <alignment horizontal="center" vertical="top" wrapText="1"/>
    </xf>
    <xf numFmtId="0" fontId="28" fillId="36" borderId="10" xfId="0" applyFont="1" applyFill="1" applyBorder="1" applyAlignment="1">
      <alignment vertical="top"/>
    </xf>
    <xf numFmtId="172" fontId="28" fillId="37" borderId="10" xfId="49" applyNumberFormat="1" applyFont="1" applyFill="1" applyBorder="1" applyAlignment="1">
      <alignment horizontal="center" vertical="top" wrapText="1"/>
    </xf>
    <xf numFmtId="0" fontId="28" fillId="37" borderId="10" xfId="0" applyFont="1" applyFill="1" applyBorder="1" applyAlignment="1">
      <alignment vertical="top"/>
    </xf>
    <xf numFmtId="172" fontId="28" fillId="39" borderId="10" xfId="49" applyNumberFormat="1" applyFont="1" applyFill="1" applyBorder="1" applyAlignment="1">
      <alignment horizontal="center" vertical="top" wrapText="1"/>
    </xf>
    <xf numFmtId="0" fontId="28" fillId="39" borderId="10" xfId="0" applyFont="1" applyFill="1" applyBorder="1" applyAlignment="1">
      <alignment vertical="top"/>
    </xf>
    <xf numFmtId="3" fontId="28" fillId="31" borderId="30" xfId="0" applyNumberFormat="1" applyFont="1" applyFill="1" applyBorder="1" applyAlignment="1">
      <alignment horizontal="center" vertical="top" wrapText="1"/>
    </xf>
    <xf numFmtId="3" fontId="28" fillId="31" borderId="30" xfId="0" applyNumberFormat="1" applyFont="1" applyFill="1" applyBorder="1" applyAlignment="1">
      <alignment vertical="center" wrapText="1"/>
    </xf>
    <xf numFmtId="3" fontId="28" fillId="31" borderId="30" xfId="0" applyNumberFormat="1" applyFont="1" applyFill="1" applyBorder="1" applyAlignment="1">
      <alignment horizontal="left" vertical="top" wrapText="1"/>
    </xf>
    <xf numFmtId="3" fontId="28" fillId="31" borderId="30" xfId="52" applyNumberFormat="1" applyFont="1" applyFill="1" applyBorder="1" applyAlignment="1">
      <alignment horizontal="center" vertical="top"/>
    </xf>
    <xf numFmtId="3" fontId="28" fillId="31" borderId="30" xfId="0" applyNumberFormat="1" applyFont="1" applyFill="1" applyBorder="1" applyAlignment="1">
      <alignment horizontal="center" vertical="top"/>
    </xf>
    <xf numFmtId="3" fontId="28" fillId="31" borderId="30" xfId="49" applyNumberFormat="1" applyFont="1" applyFill="1" applyBorder="1" applyAlignment="1">
      <alignment horizontal="center" vertical="top" wrapText="1"/>
    </xf>
    <xf numFmtId="3" fontId="28" fillId="31" borderId="30" xfId="0" applyNumberFormat="1" applyFont="1" applyFill="1" applyBorder="1" applyAlignment="1">
      <alignment vertical="top"/>
    </xf>
    <xf numFmtId="3" fontId="28" fillId="0" borderId="0" xfId="0" applyNumberFormat="1" applyFont="1" applyAlignment="1">
      <alignment vertical="top"/>
    </xf>
    <xf numFmtId="0" fontId="26" fillId="0" borderId="27" xfId="0" applyFont="1" applyBorder="1" applyAlignment="1">
      <alignment horizontal="center" vertical="top" wrapText="1"/>
    </xf>
    <xf numFmtId="0" fontId="26" fillId="0" borderId="27" xfId="0" applyFont="1" applyBorder="1" applyAlignment="1">
      <alignment vertical="center"/>
    </xf>
    <xf numFmtId="0" fontId="26" fillId="0" borderId="27" xfId="0" applyFont="1" applyBorder="1" applyAlignment="1">
      <alignment horizontal="left" vertical="top" wrapText="1"/>
    </xf>
    <xf numFmtId="171" fontId="28" fillId="0" borderId="27" xfId="52" applyNumberFormat="1" applyFont="1" applyBorder="1" applyAlignment="1">
      <alignment horizontal="center" vertical="top"/>
    </xf>
    <xf numFmtId="0" fontId="28" fillId="33" borderId="27" xfId="0" applyFont="1" applyFill="1" applyBorder="1" applyAlignment="1">
      <alignment horizontal="center" vertical="top"/>
    </xf>
    <xf numFmtId="172" fontId="26" fillId="0" borderId="27" xfId="49" applyNumberFormat="1" applyFont="1" applyBorder="1" applyAlignment="1">
      <alignment horizontal="center" vertical="top" wrapText="1"/>
    </xf>
    <xf numFmtId="172" fontId="26" fillId="0" borderId="27" xfId="49" applyNumberFormat="1" applyFont="1" applyBorder="1" applyAlignment="1">
      <alignment horizontal="right" vertical="center" wrapText="1"/>
    </xf>
    <xf numFmtId="3" fontId="28" fillId="0" borderId="27" xfId="52" applyNumberFormat="1" applyFont="1" applyFill="1" applyBorder="1" applyAlignment="1">
      <alignment horizontal="right" vertical="top" wrapText="1"/>
    </xf>
    <xf numFmtId="172" fontId="26" fillId="0" borderId="27" xfId="0" applyNumberFormat="1" applyFont="1" applyBorder="1" applyAlignment="1">
      <alignment vertical="top"/>
    </xf>
    <xf numFmtId="172" fontId="28" fillId="36" borderId="27" xfId="0" applyNumberFormat="1" applyFont="1" applyFill="1" applyBorder="1" applyAlignment="1">
      <alignment vertical="top"/>
    </xf>
    <xf numFmtId="172" fontId="28" fillId="38" borderId="27" xfId="0" applyNumberFormat="1" applyFont="1" applyFill="1" applyBorder="1" applyAlignment="1">
      <alignment vertical="top"/>
    </xf>
    <xf numFmtId="172" fontId="26" fillId="36" borderId="27" xfId="0" applyNumberFormat="1" applyFont="1" applyFill="1" applyBorder="1" applyAlignment="1">
      <alignment vertical="top"/>
    </xf>
    <xf numFmtId="172" fontId="26" fillId="38" borderId="27" xfId="0" applyNumberFormat="1" applyFont="1" applyFill="1" applyBorder="1" applyAlignment="1">
      <alignment vertical="top"/>
    </xf>
    <xf numFmtId="0" fontId="26" fillId="33" borderId="27" xfId="0" applyFont="1" applyFill="1" applyBorder="1" applyAlignment="1">
      <alignment horizontal="center" vertical="top"/>
    </xf>
    <xf numFmtId="0" fontId="26" fillId="0" borderId="27" xfId="0" applyFont="1" applyBorder="1" applyAlignment="1">
      <alignment horizontal="right" vertical="center" wrapText="1"/>
    </xf>
    <xf numFmtId="0" fontId="26" fillId="0" borderId="0" xfId="0" applyFont="1" applyAlignment="1">
      <alignment vertical="top"/>
    </xf>
    <xf numFmtId="0" fontId="26" fillId="0" borderId="27" xfId="0" applyFont="1" applyBorder="1" applyAlignment="1">
      <alignment horizontal="center" vertical="top"/>
    </xf>
    <xf numFmtId="0" fontId="26" fillId="0" borderId="27" xfId="0" applyFont="1" applyBorder="1" applyAlignment="1">
      <alignment vertical="top"/>
    </xf>
    <xf numFmtId="171" fontId="28" fillId="0" borderId="27" xfId="52" applyNumberFormat="1" applyFont="1" applyBorder="1" applyAlignment="1">
      <alignment horizontal="center" vertical="top" wrapText="1"/>
    </xf>
    <xf numFmtId="3" fontId="28" fillId="31" borderId="27" xfId="0" applyNumberFormat="1" applyFont="1" applyFill="1" applyBorder="1" applyAlignment="1">
      <alignment horizontal="center" vertical="top"/>
    </xf>
    <xf numFmtId="3" fontId="28" fillId="31" borderId="27" xfId="0" applyNumberFormat="1" applyFont="1" applyFill="1" applyBorder="1" applyAlignment="1">
      <alignment vertical="center"/>
    </xf>
    <xf numFmtId="3" fontId="28" fillId="31" borderId="27" xfId="0" applyNumberFormat="1" applyFont="1" applyFill="1" applyBorder="1" applyAlignment="1">
      <alignment vertical="top" wrapText="1"/>
    </xf>
    <xf numFmtId="3" fontId="28" fillId="31" borderId="27" xfId="52" applyNumberFormat="1" applyFont="1" applyFill="1" applyBorder="1" applyAlignment="1">
      <alignment horizontal="center" vertical="top"/>
    </xf>
    <xf numFmtId="3" fontId="26" fillId="31" borderId="27" xfId="52" applyNumberFormat="1" applyFont="1" applyFill="1" applyBorder="1" applyAlignment="1">
      <alignment horizontal="right" vertical="top"/>
    </xf>
    <xf numFmtId="3" fontId="28" fillId="31" borderId="27" xfId="49" applyNumberFormat="1" applyFont="1" applyFill="1" applyBorder="1" applyAlignment="1">
      <alignment vertical="top"/>
    </xf>
    <xf numFmtId="0" fontId="28" fillId="31" borderId="27" xfId="0" applyFont="1" applyFill="1" applyBorder="1" applyAlignment="1">
      <alignment horizontal="center" vertical="top"/>
    </xf>
    <xf numFmtId="0" fontId="28" fillId="31" borderId="27" xfId="0" applyFont="1" applyFill="1" applyBorder="1" applyAlignment="1">
      <alignment vertical="center"/>
    </xf>
    <xf numFmtId="171" fontId="28" fillId="31" borderId="27" xfId="52" applyNumberFormat="1" applyFont="1" applyFill="1" applyBorder="1" applyAlignment="1">
      <alignment horizontal="center" vertical="top"/>
    </xf>
    <xf numFmtId="171" fontId="26" fillId="31" borderId="27" xfId="52" applyNumberFormat="1" applyFont="1" applyFill="1" applyBorder="1" applyAlignment="1">
      <alignment horizontal="right" vertical="top"/>
    </xf>
    <xf numFmtId="172" fontId="28" fillId="31" borderId="27" xfId="49" applyNumberFormat="1" applyFont="1" applyFill="1" applyBorder="1" applyAlignment="1">
      <alignment vertical="top"/>
    </xf>
    <xf numFmtId="0" fontId="28" fillId="31" borderId="27" xfId="0" applyFont="1" applyFill="1" applyBorder="1" applyAlignment="1">
      <alignment vertical="top" wrapText="1"/>
    </xf>
    <xf numFmtId="0" fontId="28" fillId="0" borderId="10" xfId="0" applyFont="1" applyBorder="1" applyAlignment="1">
      <alignment horizontal="center" vertical="top"/>
    </xf>
    <xf numFmtId="0" fontId="28" fillId="0" borderId="10" xfId="0" applyFont="1" applyBorder="1" applyAlignment="1">
      <alignment vertical="center"/>
    </xf>
    <xf numFmtId="0" fontId="28" fillId="0" borderId="10" xfId="0" applyFont="1" applyBorder="1" applyAlignment="1">
      <alignment vertical="top" wrapText="1"/>
    </xf>
    <xf numFmtId="171" fontId="28" fillId="0" borderId="10" xfId="52" applyNumberFormat="1" applyFont="1" applyBorder="1" applyAlignment="1">
      <alignment horizontal="center" vertical="top"/>
    </xf>
    <xf numFmtId="171" fontId="28" fillId="33" borderId="10" xfId="52" applyNumberFormat="1" applyFont="1" applyFill="1" applyBorder="1" applyAlignment="1">
      <alignment horizontal="right" vertical="top"/>
    </xf>
    <xf numFmtId="0" fontId="28" fillId="0" borderId="10" xfId="0" applyFont="1" applyBorder="1" applyAlignment="1">
      <alignment horizontal="right" vertical="center"/>
    </xf>
    <xf numFmtId="172" fontId="28" fillId="0" borderId="10" xfId="49" applyNumberFormat="1" applyFont="1" applyBorder="1" applyAlignment="1">
      <alignment horizontal="right" vertical="center"/>
    </xf>
    <xf numFmtId="3" fontId="28" fillId="0" borderId="10" xfId="52" applyNumberFormat="1" applyFont="1" applyFill="1" applyBorder="1" applyAlignment="1">
      <alignment horizontal="right" vertical="top"/>
    </xf>
    <xf numFmtId="172" fontId="28" fillId="36" borderId="11" xfId="49" applyNumberFormat="1" applyFont="1" applyFill="1" applyBorder="1" applyAlignment="1">
      <alignment horizontal="center" vertical="top" wrapText="1"/>
    </xf>
    <xf numFmtId="0" fontId="28" fillId="0" borderId="0" xfId="0" applyFont="1" applyAlignment="1">
      <alignment vertical="center"/>
    </xf>
    <xf numFmtId="0" fontId="28" fillId="0" borderId="0" xfId="0" applyFont="1" applyAlignment="1">
      <alignment vertical="top" wrapText="1"/>
    </xf>
    <xf numFmtId="171" fontId="28" fillId="0" borderId="0" xfId="52" applyNumberFormat="1" applyFont="1" applyFill="1" applyAlignment="1">
      <alignment horizontal="center" vertical="top"/>
    </xf>
    <xf numFmtId="171" fontId="28" fillId="0" borderId="0" xfId="52" applyNumberFormat="1" applyFont="1" applyFill="1" applyAlignment="1">
      <alignment horizontal="right" vertical="top"/>
    </xf>
    <xf numFmtId="0" fontId="28" fillId="0" borderId="0" xfId="0" applyFont="1" applyAlignment="1">
      <alignment horizontal="right" vertical="top"/>
    </xf>
    <xf numFmtId="172" fontId="28" fillId="0" borderId="0" xfId="49" applyNumberFormat="1" applyFont="1" applyFill="1" applyAlignment="1">
      <alignment horizontal="right" vertical="top"/>
    </xf>
    <xf numFmtId="3" fontId="28" fillId="0" borderId="0" xfId="52" applyNumberFormat="1" applyFont="1" applyFill="1" applyAlignment="1">
      <alignment horizontal="right" vertical="top"/>
    </xf>
    <xf numFmtId="172" fontId="28" fillId="0" borderId="0" xfId="49" applyNumberFormat="1" applyFont="1" applyFill="1" applyAlignment="1">
      <alignment vertical="top"/>
    </xf>
    <xf numFmtId="172" fontId="28" fillId="0" borderId="15" xfId="0" applyNumberFormat="1" applyFont="1" applyBorder="1" applyAlignment="1">
      <alignment vertical="top"/>
    </xf>
    <xf numFmtId="172" fontId="28" fillId="0" borderId="0" xfId="0" applyNumberFormat="1" applyFont="1" applyAlignment="1">
      <alignment vertical="top"/>
    </xf>
    <xf numFmtId="0" fontId="26" fillId="0" borderId="0" xfId="0" quotePrefix="1" applyFont="1" applyAlignment="1">
      <alignment horizontal="center" vertical="top"/>
    </xf>
    <xf numFmtId="172" fontId="26" fillId="0" borderId="0" xfId="49" applyNumberFormat="1" applyFont="1" applyAlignment="1">
      <alignment vertical="top"/>
    </xf>
    <xf numFmtId="0" fontId="26" fillId="0" borderId="10" xfId="0" applyFont="1" applyBorder="1" applyAlignment="1">
      <alignment vertical="center"/>
    </xf>
    <xf numFmtId="0" fontId="26" fillId="0" borderId="0" xfId="0" applyFont="1" applyAlignment="1">
      <alignment horizontal="center" vertical="top"/>
    </xf>
    <xf numFmtId="0" fontId="26" fillId="0" borderId="0" xfId="0" applyFont="1" applyAlignment="1">
      <alignment vertical="center"/>
    </xf>
    <xf numFmtId="0" fontId="26" fillId="0" borderId="0" xfId="0" applyFont="1" applyAlignment="1">
      <alignment vertical="top" wrapText="1"/>
    </xf>
    <xf numFmtId="171" fontId="26" fillId="0" borderId="0" xfId="52" applyNumberFormat="1" applyFont="1" applyFill="1" applyAlignment="1">
      <alignment horizontal="center" vertical="top"/>
    </xf>
    <xf numFmtId="171" fontId="26" fillId="0" borderId="0" xfId="52" applyNumberFormat="1" applyFont="1" applyFill="1" applyAlignment="1">
      <alignment horizontal="right" vertical="top"/>
    </xf>
    <xf numFmtId="0" fontId="26" fillId="0" borderId="0" xfId="0" applyFont="1" applyAlignment="1">
      <alignment horizontal="right" vertical="top"/>
    </xf>
    <xf numFmtId="172" fontId="26" fillId="0" borderId="0" xfId="49" applyNumberFormat="1" applyFont="1" applyFill="1" applyAlignment="1">
      <alignment horizontal="right" vertical="top"/>
    </xf>
    <xf numFmtId="0" fontId="36" fillId="0" borderId="24" xfId="0" applyFont="1" applyBorder="1"/>
    <xf numFmtId="0" fontId="36" fillId="0" borderId="16" xfId="0" applyFont="1" applyBorder="1"/>
    <xf numFmtId="0" fontId="36" fillId="0" borderId="0" xfId="0" applyFont="1" applyBorder="1"/>
    <xf numFmtId="0" fontId="36" fillId="0" borderId="19" xfId="0" applyFont="1" applyBorder="1"/>
    <xf numFmtId="43" fontId="25" fillId="0" borderId="0" xfId="49" applyFont="1" applyAlignment="1">
      <alignment horizontal="right" vertical="center"/>
    </xf>
    <xf numFmtId="2" fontId="36" fillId="0" borderId="0" xfId="45" applyNumberFormat="1" applyFont="1" applyAlignment="1">
      <alignment horizontal="right" vertical="center"/>
    </xf>
    <xf numFmtId="172" fontId="36" fillId="0" borderId="0" xfId="49" applyNumberFormat="1" applyFont="1" applyAlignment="1">
      <alignment horizontal="right" vertical="center"/>
    </xf>
    <xf numFmtId="41" fontId="51" fillId="0" borderId="27" xfId="51" applyFont="1" applyBorder="1"/>
    <xf numFmtId="41" fontId="51" fillId="0" borderId="27" xfId="51" applyFont="1" applyBorder="1" applyAlignment="1"/>
    <xf numFmtId="172" fontId="36" fillId="0" borderId="28" xfId="49" applyNumberFormat="1" applyFont="1" applyBorder="1"/>
    <xf numFmtId="9" fontId="36" fillId="0" borderId="0" xfId="45" applyFont="1" applyFill="1" applyBorder="1" applyAlignment="1">
      <alignment horizontal="left" vertical="center"/>
    </xf>
    <xf numFmtId="14" fontId="28" fillId="0" borderId="10" xfId="35" applyNumberFormat="1" applyFont="1" applyFill="1" applyBorder="1" applyAlignment="1" applyProtection="1">
      <alignment horizontal="left" vertical="center" indent="1"/>
      <protection locked="0"/>
    </xf>
    <xf numFmtId="0" fontId="28" fillId="0" borderId="10" xfId="35" applyFont="1" applyFill="1" applyBorder="1" applyAlignment="1" applyProtection="1">
      <alignment horizontal="left" vertical="center" indent="1"/>
      <protection locked="0"/>
    </xf>
    <xf numFmtId="0" fontId="28" fillId="0" borderId="0" xfId="41" applyFont="1" applyFill="1" applyBorder="1" applyAlignment="1" applyProtection="1">
      <alignment horizontal="left" vertical="center"/>
      <protection hidden="1"/>
    </xf>
    <xf numFmtId="0" fontId="27" fillId="0" borderId="0" xfId="41" applyFont="1" applyFill="1" applyBorder="1" applyAlignment="1" applyProtection="1">
      <alignment horizontal="left" vertical="center"/>
      <protection hidden="1"/>
    </xf>
    <xf numFmtId="0" fontId="28" fillId="0" borderId="11" xfId="0" applyFont="1" applyFill="1" applyBorder="1" applyAlignment="1" applyProtection="1">
      <alignment horizontal="left" vertical="center" indent="1"/>
      <protection locked="0"/>
    </xf>
    <xf numFmtId="0" fontId="28" fillId="0" borderId="24" xfId="0" applyFont="1" applyFill="1" applyBorder="1" applyAlignment="1" applyProtection="1">
      <alignment horizontal="left" vertical="center" indent="1"/>
      <protection locked="0"/>
    </xf>
    <xf numFmtId="0" fontId="28" fillId="0" borderId="25" xfId="0" applyFont="1" applyFill="1" applyBorder="1" applyAlignment="1" applyProtection="1">
      <alignment horizontal="left" vertical="center" indent="1"/>
      <protection locked="0"/>
    </xf>
    <xf numFmtId="0" fontId="28" fillId="0" borderId="10" xfId="0" applyFont="1" applyFill="1" applyBorder="1" applyAlignment="1" applyProtection="1">
      <alignment horizontal="left" vertical="center" indent="1"/>
      <protection locked="0"/>
    </xf>
    <xf numFmtId="0" fontId="5" fillId="0" borderId="10" xfId="35" applyFill="1" applyBorder="1" applyAlignment="1" applyProtection="1">
      <alignment horizontal="left" vertical="center" indent="1"/>
      <protection locked="0"/>
    </xf>
    <xf numFmtId="0" fontId="25" fillId="0" borderId="11" xfId="0" applyFont="1" applyFill="1" applyBorder="1" applyAlignment="1" applyProtection="1">
      <alignment horizontal="left" vertical="center"/>
      <protection locked="0"/>
    </xf>
    <xf numFmtId="0" fontId="25" fillId="0" borderId="24" xfId="0" applyFont="1" applyFill="1" applyBorder="1" applyAlignment="1" applyProtection="1">
      <alignment horizontal="left" vertical="center"/>
      <protection locked="0"/>
    </xf>
    <xf numFmtId="17" fontId="25" fillId="0" borderId="11" xfId="0" applyNumberFormat="1" applyFont="1" applyFill="1" applyBorder="1" applyAlignment="1" applyProtection="1">
      <alignment horizontal="left" vertical="center"/>
      <protection locked="0"/>
    </xf>
    <xf numFmtId="0" fontId="47" fillId="0" borderId="0" xfId="39" applyFont="1" applyFill="1" applyBorder="1" applyAlignment="1">
      <alignment horizontal="left" vertical="center"/>
    </xf>
    <xf numFmtId="0" fontId="25" fillId="24" borderId="12" xfId="0" applyFont="1" applyFill="1" applyBorder="1" applyAlignment="1" applyProtection="1">
      <alignment vertical="center"/>
    </xf>
    <xf numFmtId="0" fontId="25" fillId="24" borderId="17" xfId="0" applyFont="1" applyFill="1" applyBorder="1" applyAlignment="1" applyProtection="1">
      <alignment vertical="center"/>
    </xf>
    <xf numFmtId="0" fontId="25" fillId="24" borderId="21" xfId="0" applyFont="1" applyFill="1" applyBorder="1" applyAlignment="1" applyProtection="1">
      <alignment vertical="center"/>
    </xf>
    <xf numFmtId="0" fontId="25" fillId="24" borderId="18" xfId="0" applyFont="1" applyFill="1" applyBorder="1" applyAlignment="1" applyProtection="1">
      <alignment vertical="center"/>
    </xf>
    <xf numFmtId="0" fontId="25" fillId="24" borderId="14" xfId="0" applyFont="1" applyFill="1" applyBorder="1" applyAlignment="1" applyProtection="1">
      <alignment vertical="center"/>
    </xf>
    <xf numFmtId="0" fontId="25" fillId="24" borderId="20" xfId="0" applyFont="1" applyFill="1" applyBorder="1" applyAlignment="1" applyProtection="1">
      <alignment vertical="center"/>
    </xf>
    <xf numFmtId="0" fontId="50" fillId="0" borderId="0" xfId="0" applyFont="1" applyAlignment="1">
      <alignment horizontal="center"/>
    </xf>
    <xf numFmtId="0" fontId="25" fillId="0" borderId="11" xfId="0" applyFont="1" applyFill="1" applyBorder="1" applyAlignment="1" applyProtection="1">
      <alignment horizontal="right" vertical="center"/>
      <protection locked="0"/>
    </xf>
    <xf numFmtId="0" fontId="25" fillId="0" borderId="24" xfId="0" applyFont="1" applyFill="1" applyBorder="1" applyAlignment="1" applyProtection="1">
      <alignment horizontal="right" vertical="center"/>
      <protection locked="0"/>
    </xf>
    <xf numFmtId="17" fontId="25" fillId="0" borderId="11" xfId="0" applyNumberFormat="1" applyFont="1" applyFill="1" applyBorder="1" applyAlignment="1" applyProtection="1">
      <alignment horizontal="right" vertical="center"/>
      <protection locked="0"/>
    </xf>
    <xf numFmtId="0" fontId="27" fillId="0" borderId="0" xfId="39" applyFont="1" applyFill="1" applyBorder="1" applyAlignment="1">
      <alignment horizontal="left" vertical="center"/>
    </xf>
    <xf numFmtId="0" fontId="26" fillId="0" borderId="10" xfId="0" applyFont="1" applyBorder="1" applyAlignment="1">
      <alignment horizontal="left" vertical="top" wrapText="1"/>
    </xf>
    <xf numFmtId="0" fontId="28" fillId="37" borderId="10" xfId="0" applyFont="1" applyFill="1" applyBorder="1" applyAlignment="1">
      <alignment horizontal="center" vertical="top"/>
    </xf>
    <xf numFmtId="0" fontId="28" fillId="38" borderId="12" xfId="0" applyFont="1" applyFill="1" applyBorder="1" applyAlignment="1">
      <alignment horizontal="center" vertical="top" wrapText="1"/>
    </xf>
    <xf numFmtId="0" fontId="28" fillId="38" borderId="17" xfId="0" applyFont="1" applyFill="1" applyBorder="1" applyAlignment="1">
      <alignment horizontal="center" vertical="top" wrapText="1"/>
    </xf>
    <xf numFmtId="0" fontId="26" fillId="0" borderId="13" xfId="0" applyFont="1" applyBorder="1" applyAlignment="1">
      <alignment horizontal="center" vertical="center" wrapText="1"/>
    </xf>
    <xf numFmtId="0" fontId="26" fillId="0" borderId="15" xfId="0" applyFont="1" applyBorder="1" applyAlignment="1">
      <alignment horizontal="center" vertical="center" wrapText="1"/>
    </xf>
    <xf numFmtId="0" fontId="28" fillId="39" borderId="11" xfId="0" applyFont="1" applyFill="1" applyBorder="1" applyAlignment="1">
      <alignment horizontal="center" vertical="top"/>
    </xf>
    <xf numFmtId="0" fontId="28" fillId="39" borderId="25" xfId="0" applyFont="1" applyFill="1" applyBorder="1" applyAlignment="1">
      <alignment horizontal="center" vertical="top"/>
    </xf>
    <xf numFmtId="0" fontId="28" fillId="36" borderId="12" xfId="0" applyFont="1" applyFill="1" applyBorder="1" applyAlignment="1">
      <alignment horizontal="center" vertical="top" wrapText="1"/>
    </xf>
    <xf numFmtId="0" fontId="28" fillId="36" borderId="17" xfId="0" applyFont="1" applyFill="1" applyBorder="1" applyAlignment="1">
      <alignment horizontal="center" vertical="top" wrapText="1"/>
    </xf>
    <xf numFmtId="0" fontId="28" fillId="36" borderId="10" xfId="0" applyFont="1" applyFill="1" applyBorder="1" applyAlignment="1">
      <alignment horizontal="center" vertical="top"/>
    </xf>
    <xf numFmtId="0" fontId="28" fillId="0" borderId="0" xfId="0" applyFont="1" applyAlignment="1">
      <alignment horizontal="left" vertical="top" wrapText="1"/>
    </xf>
    <xf numFmtId="0" fontId="28" fillId="0" borderId="0" xfId="0" applyFont="1" applyAlignment="1">
      <alignment horizontal="left" vertical="top"/>
    </xf>
    <xf numFmtId="0" fontId="28" fillId="0" borderId="10" xfId="0" applyFont="1" applyBorder="1" applyAlignment="1">
      <alignment horizontal="center" vertical="top" wrapText="1"/>
    </xf>
    <xf numFmtId="0" fontId="28" fillId="0" borderId="13" xfId="0" applyFont="1" applyBorder="1" applyAlignment="1">
      <alignment horizontal="center" vertical="top" wrapText="1"/>
    </xf>
    <xf numFmtId="0" fontId="28" fillId="0" borderId="15" xfId="0" applyFont="1" applyBorder="1" applyAlignment="1">
      <alignment horizontal="center" vertical="top" wrapText="1"/>
    </xf>
    <xf numFmtId="0" fontId="28" fillId="0" borderId="11" xfId="0" applyFont="1" applyBorder="1" applyAlignment="1">
      <alignment horizontal="center" vertical="top" wrapText="1"/>
    </xf>
    <xf numFmtId="0" fontId="28" fillId="0" borderId="25" xfId="0" applyFont="1" applyBorder="1" applyAlignment="1">
      <alignment horizontal="center" vertical="top" wrapText="1"/>
    </xf>
    <xf numFmtId="0" fontId="28" fillId="33" borderId="10" xfId="0" applyFont="1" applyFill="1" applyBorder="1" applyAlignment="1">
      <alignment horizontal="center" vertical="top"/>
    </xf>
    <xf numFmtId="3" fontId="28" fillId="0" borderId="13" xfId="0" applyNumberFormat="1" applyFont="1" applyBorder="1" applyAlignment="1">
      <alignment horizontal="center" vertical="top" wrapText="1"/>
    </xf>
    <xf numFmtId="3" fontId="28" fillId="0" borderId="15" xfId="0" applyNumberFormat="1" applyFont="1" applyBorder="1" applyAlignment="1">
      <alignment horizontal="center" vertical="top" wrapText="1"/>
    </xf>
    <xf numFmtId="0" fontId="28" fillId="0" borderId="10" xfId="0" applyFont="1" applyBorder="1" applyAlignment="1">
      <alignment horizontal="center" vertical="top"/>
    </xf>
    <xf numFmtId="0" fontId="28" fillId="0" borderId="11" xfId="0" applyFont="1" applyBorder="1" applyAlignment="1">
      <alignment horizontal="center" vertical="top"/>
    </xf>
    <xf numFmtId="0" fontId="25" fillId="42" borderId="11" xfId="0" applyFont="1" applyFill="1" applyBorder="1" applyAlignment="1">
      <alignment horizontal="center"/>
    </xf>
    <xf numFmtId="0" fontId="25" fillId="42" borderId="24" xfId="0" applyFont="1" applyFill="1" applyBorder="1" applyAlignment="1">
      <alignment horizontal="center"/>
    </xf>
    <xf numFmtId="0" fontId="25" fillId="42" borderId="25" xfId="0" applyFont="1" applyFill="1" applyBorder="1" applyAlignment="1">
      <alignment horizontal="center"/>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9" builtinId="3"/>
    <cellStyle name="Comma [0]" xfId="51" builtinId="6"/>
    <cellStyle name="Comma 2" xfId="52" xr:uid="{00000000-0005-0000-0000-00001D000000}"/>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 Style1" xfId="39" xr:uid="{00000000-0005-0000-0000-00002A000000}"/>
    <cellStyle name="Normal 2" xfId="50" xr:uid="{00000000-0005-0000-0000-00002B000000}"/>
    <cellStyle name="Normal_BALSHT.XLS" xfId="40" xr:uid="{00000000-0005-0000-0000-00002C000000}"/>
    <cellStyle name="Normal_REVPROJ.XLS" xfId="41" xr:uid="{00000000-0005-0000-0000-00002D000000}"/>
    <cellStyle name="Normal_SALPERS.XLS" xfId="42" xr:uid="{00000000-0005-0000-0000-00002E000000}"/>
    <cellStyle name="Note" xfId="43" builtinId="10" customBuiltin="1"/>
    <cellStyle name="Output" xfId="44" builtinId="21" customBuiltin="1"/>
    <cellStyle name="Percent" xfId="45" builtinId="5"/>
    <cellStyle name="Title" xfId="46" builtinId="15" customBuiltin="1"/>
    <cellStyle name="Total" xfId="47" builtinId="25" customBuiltin="1"/>
    <cellStyle name="Warning Text" xfId="48"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r>
              <a:rPr lang="vi-VN"/>
              <a:t>NĂM</a:t>
            </a:r>
            <a:r>
              <a:rPr lang="vi-VN" baseline="0"/>
              <a:t> 2019</a:t>
            </a:r>
            <a:endParaRPr lang="en-US"/>
          </a:p>
        </c:rich>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C5C9-43DD-9F00-744BD7A9269A}"/>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C5C9-43DD-9F00-744BD7A9269A}"/>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C5C9-43DD-9F00-744BD7A9269A}"/>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C5C9-43DD-9F00-744BD7A9269A}"/>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C5C9-43DD-9F00-744BD7A9269A}"/>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C5C9-43DD-9F00-744BD7A9269A}"/>
              </c:ext>
            </c:extLst>
          </c:dPt>
          <c:dLbls>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1000" b="1"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'BÁO CÁO'!$A$17:$A$22</c:f>
              <c:strCache>
                <c:ptCount val="6"/>
                <c:pt idx="0">
                  <c:v>DT THEO SẢN PHẨM</c:v>
                </c:pt>
                <c:pt idx="1">
                  <c:v>SẢN PHẨM 1</c:v>
                </c:pt>
                <c:pt idx="2">
                  <c:v>SẢN PHẨM 2</c:v>
                </c:pt>
                <c:pt idx="3">
                  <c:v>SẢN PHẨM 3</c:v>
                </c:pt>
                <c:pt idx="4">
                  <c:v>SẢN PHẨM 4</c:v>
                </c:pt>
                <c:pt idx="5">
                  <c:v>SẢN PHẨM 5</c:v>
                </c:pt>
              </c:strCache>
            </c:strRef>
          </c:cat>
          <c:val>
            <c:numRef>
              <c:f>'BÁO CÁO'!$B$17:$B$22</c:f>
              <c:numCache>
                <c:formatCode>#,##0</c:formatCode>
                <c:ptCount val="6"/>
                <c:pt idx="1">
                  <c:v>410000</c:v>
                </c:pt>
                <c:pt idx="2">
                  <c:v>1793000</c:v>
                </c:pt>
                <c:pt idx="3">
                  <c:v>1587500</c:v>
                </c:pt>
                <c:pt idx="4">
                  <c:v>1451000</c:v>
                </c:pt>
                <c:pt idx="5">
                  <c:v>1134000</c:v>
                </c:pt>
              </c:numCache>
            </c:numRef>
          </c:val>
          <c:extLst>
            <c:ext xmlns:c16="http://schemas.microsoft.com/office/drawing/2014/chart" uri="{C3380CC4-5D6E-409C-BE32-E72D297353CC}">
              <c16:uniqueId val="{00000000-AC3C-2643-BB5F-17247EAF73DF}"/>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egendEntry>
        <c:idx val="0"/>
        <c:delete val="1"/>
      </c:legendEntry>
      <c:overlay val="0"/>
      <c:spPr>
        <a:solidFill>
          <a:schemeClr val="lt1">
            <a:lumMod val="95000"/>
            <a:alpha val="39000"/>
          </a:schemeClr>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100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r>
              <a:rPr lang="vi-VN" b="1"/>
              <a:t>Biểu đồ thể hiện từng</a:t>
            </a:r>
            <a:r>
              <a:rPr lang="vi-VN" b="1" baseline="0"/>
              <a:t> loại </a:t>
            </a:r>
            <a:r>
              <a:rPr lang="vi-VN" b="1"/>
              <a:t>chi phí</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manualLayout>
          <c:layoutTarget val="inner"/>
          <c:xMode val="edge"/>
          <c:yMode val="edge"/>
          <c:x val="0.20911582341269838"/>
          <c:y val="0.22696597222222223"/>
          <c:w val="0.75623635912698417"/>
          <c:h val="0.65292048611111109"/>
        </c:manualLayout>
      </c:layout>
      <c:barChart>
        <c:barDir val="col"/>
        <c:grouping val="clustered"/>
        <c:varyColors val="0"/>
        <c:ser>
          <c:idx val="0"/>
          <c:order val="0"/>
          <c:tx>
            <c:strRef>
              <c:f>'BÁO CÁO'!$B$44</c:f>
              <c:strCache>
                <c:ptCount val="1"/>
                <c:pt idx="0">
                  <c:v>2019</c:v>
                </c:pt>
              </c:strCache>
            </c:strRef>
          </c:tx>
          <c:spPr>
            <a:solidFill>
              <a:schemeClr val="accent1"/>
            </a:solidFill>
            <a:ln>
              <a:noFill/>
            </a:ln>
            <a:effectLst/>
          </c:spPr>
          <c:invertIfNegative val="0"/>
          <c:cat>
            <c:strRef>
              <c:f>'BÁO CÁO'!$A$45:$A$53</c:f>
              <c:strCache>
                <c:ptCount val="9"/>
                <c:pt idx="0">
                  <c:v>Chi VP</c:v>
                </c:pt>
                <c:pt idx="1">
                  <c:v>Chi nhân viên</c:v>
                </c:pt>
                <c:pt idx="2">
                  <c:v>Chi Marketing</c:v>
                </c:pt>
                <c:pt idx="3">
                  <c:v>Chi khác</c:v>
                </c:pt>
                <c:pt idx="4">
                  <c:v>Chi khấu hao</c:v>
                </c:pt>
                <c:pt idx="5">
                  <c:v>Giá vốn hàng bán</c:v>
                </c:pt>
                <c:pt idx="6">
                  <c:v>Lương KD</c:v>
                </c:pt>
                <c:pt idx="7">
                  <c:v>Chiết khấu đại lý</c:v>
                </c:pt>
                <c:pt idx="8">
                  <c:v>Chi phí bán hàng</c:v>
                </c:pt>
              </c:strCache>
            </c:strRef>
          </c:cat>
          <c:val>
            <c:numRef>
              <c:f>'BÁO CÁO'!$B$45:$B$53</c:f>
              <c:numCache>
                <c:formatCode>_(* #,##0_);_(* \(#,##0\);_(* "-"??_);_(@_)</c:formatCode>
                <c:ptCount val="9"/>
                <c:pt idx="0">
                  <c:v>637550</c:v>
                </c:pt>
                <c:pt idx="1">
                  <c:v>892570.00000000012</c:v>
                </c:pt>
                <c:pt idx="2">
                  <c:v>1275100</c:v>
                </c:pt>
                <c:pt idx="3">
                  <c:v>137510</c:v>
                </c:pt>
                <c:pt idx="4">
                  <c:v>662500</c:v>
                </c:pt>
                <c:pt idx="5">
                  <c:v>1630500</c:v>
                </c:pt>
                <c:pt idx="6">
                  <c:v>191265</c:v>
                </c:pt>
                <c:pt idx="7">
                  <c:v>1517165</c:v>
                </c:pt>
                <c:pt idx="8">
                  <c:v>191265</c:v>
                </c:pt>
              </c:numCache>
            </c:numRef>
          </c:val>
          <c:extLst>
            <c:ext xmlns:c16="http://schemas.microsoft.com/office/drawing/2014/chart" uri="{C3380CC4-5D6E-409C-BE32-E72D297353CC}">
              <c16:uniqueId val="{00000000-6E0D-4E16-8C8D-8ABF04FCB89F}"/>
            </c:ext>
          </c:extLst>
        </c:ser>
        <c:ser>
          <c:idx val="1"/>
          <c:order val="1"/>
          <c:tx>
            <c:strRef>
              <c:f>'BÁO CÁO'!$C$44</c:f>
              <c:strCache>
                <c:ptCount val="1"/>
                <c:pt idx="0">
                  <c:v>2020</c:v>
                </c:pt>
              </c:strCache>
            </c:strRef>
          </c:tx>
          <c:spPr>
            <a:solidFill>
              <a:schemeClr val="accent2"/>
            </a:solidFill>
            <a:ln>
              <a:noFill/>
            </a:ln>
            <a:effectLst/>
          </c:spPr>
          <c:invertIfNegative val="0"/>
          <c:cat>
            <c:strRef>
              <c:f>'BÁO CÁO'!$A$45:$A$53</c:f>
              <c:strCache>
                <c:ptCount val="9"/>
                <c:pt idx="0">
                  <c:v>Chi VP</c:v>
                </c:pt>
                <c:pt idx="1">
                  <c:v>Chi nhân viên</c:v>
                </c:pt>
                <c:pt idx="2">
                  <c:v>Chi Marketing</c:v>
                </c:pt>
                <c:pt idx="3">
                  <c:v>Chi khác</c:v>
                </c:pt>
                <c:pt idx="4">
                  <c:v>Chi khấu hao</c:v>
                </c:pt>
                <c:pt idx="5">
                  <c:v>Giá vốn hàng bán</c:v>
                </c:pt>
                <c:pt idx="6">
                  <c:v>Lương KD</c:v>
                </c:pt>
                <c:pt idx="7">
                  <c:v>Chiết khấu đại lý</c:v>
                </c:pt>
                <c:pt idx="8">
                  <c:v>Chi phí bán hàng</c:v>
                </c:pt>
              </c:strCache>
            </c:strRef>
          </c:cat>
          <c:val>
            <c:numRef>
              <c:f>'BÁO CÁO'!$C$45:$C$53</c:f>
              <c:numCache>
                <c:formatCode>_(* #,##0_);_(* \(#,##0\);_(* "-"??_);_(@_)</c:formatCode>
                <c:ptCount val="9"/>
                <c:pt idx="0">
                  <c:v>900000</c:v>
                </c:pt>
                <c:pt idx="1">
                  <c:v>1071084</c:v>
                </c:pt>
                <c:pt idx="2">
                  <c:v>1334370</c:v>
                </c:pt>
                <c:pt idx="3">
                  <c:v>133437</c:v>
                </c:pt>
                <c:pt idx="4">
                  <c:v>1125000</c:v>
                </c:pt>
                <c:pt idx="5">
                  <c:v>2268000</c:v>
                </c:pt>
                <c:pt idx="6">
                  <c:v>266874</c:v>
                </c:pt>
                <c:pt idx="7">
                  <c:v>2109228</c:v>
                </c:pt>
                <c:pt idx="8">
                  <c:v>266874</c:v>
                </c:pt>
              </c:numCache>
            </c:numRef>
          </c:val>
          <c:extLst>
            <c:ext xmlns:c16="http://schemas.microsoft.com/office/drawing/2014/chart" uri="{C3380CC4-5D6E-409C-BE32-E72D297353CC}">
              <c16:uniqueId val="{00000001-6E0D-4E16-8C8D-8ABF04FCB89F}"/>
            </c:ext>
          </c:extLst>
        </c:ser>
        <c:ser>
          <c:idx val="2"/>
          <c:order val="2"/>
          <c:tx>
            <c:strRef>
              <c:f>'BÁO CÁO'!$D$44</c:f>
              <c:strCache>
                <c:ptCount val="1"/>
                <c:pt idx="0">
                  <c:v>2021</c:v>
                </c:pt>
              </c:strCache>
            </c:strRef>
          </c:tx>
          <c:spPr>
            <a:solidFill>
              <a:schemeClr val="accent3"/>
            </a:solidFill>
            <a:ln>
              <a:noFill/>
            </a:ln>
            <a:effectLst/>
          </c:spPr>
          <c:invertIfNegative val="0"/>
          <c:cat>
            <c:strRef>
              <c:f>'BÁO CÁO'!$A$45:$A$53</c:f>
              <c:strCache>
                <c:ptCount val="9"/>
                <c:pt idx="0">
                  <c:v>Chi VP</c:v>
                </c:pt>
                <c:pt idx="1">
                  <c:v>Chi nhân viên</c:v>
                </c:pt>
                <c:pt idx="2">
                  <c:v>Chi Marketing</c:v>
                </c:pt>
                <c:pt idx="3">
                  <c:v>Chi khác</c:v>
                </c:pt>
                <c:pt idx="4">
                  <c:v>Chi khấu hao</c:v>
                </c:pt>
                <c:pt idx="5">
                  <c:v>Giá vốn hàng bán</c:v>
                </c:pt>
                <c:pt idx="6">
                  <c:v>Lương KD</c:v>
                </c:pt>
                <c:pt idx="7">
                  <c:v>Chiết khấu đại lý</c:v>
                </c:pt>
                <c:pt idx="8">
                  <c:v>Chi phí bán hàng</c:v>
                </c:pt>
              </c:strCache>
            </c:strRef>
          </c:cat>
          <c:val>
            <c:numRef>
              <c:f>'BÁO CÁO'!$D$45:$D$53</c:f>
              <c:numCache>
                <c:formatCode>_(* #,##0_);_(* \(#,##0\);_(* "-"??_);_(@_)</c:formatCode>
                <c:ptCount val="9"/>
                <c:pt idx="0">
                  <c:v>1080000</c:v>
                </c:pt>
                <c:pt idx="1">
                  <c:v>1285300.8</c:v>
                </c:pt>
                <c:pt idx="2">
                  <c:v>2403915</c:v>
                </c:pt>
                <c:pt idx="3">
                  <c:v>240391.5</c:v>
                </c:pt>
                <c:pt idx="4">
                  <c:v>1550000</c:v>
                </c:pt>
                <c:pt idx="5">
                  <c:v>4441200</c:v>
                </c:pt>
                <c:pt idx="6">
                  <c:v>480783</c:v>
                </c:pt>
                <c:pt idx="7">
                  <c:v>3773150</c:v>
                </c:pt>
                <c:pt idx="8">
                  <c:v>480783</c:v>
                </c:pt>
              </c:numCache>
            </c:numRef>
          </c:val>
          <c:extLst>
            <c:ext xmlns:c16="http://schemas.microsoft.com/office/drawing/2014/chart" uri="{C3380CC4-5D6E-409C-BE32-E72D297353CC}">
              <c16:uniqueId val="{00000002-6E0D-4E16-8C8D-8ABF04FCB89F}"/>
            </c:ext>
          </c:extLst>
        </c:ser>
        <c:dLbls>
          <c:showLegendKey val="0"/>
          <c:showVal val="0"/>
          <c:showCatName val="0"/>
          <c:showSerName val="0"/>
          <c:showPercent val="0"/>
          <c:showBubbleSize val="0"/>
        </c:dLbls>
        <c:gapWidth val="219"/>
        <c:overlap val="-27"/>
        <c:axId val="140457295"/>
        <c:axId val="140477679"/>
      </c:barChart>
      <c:catAx>
        <c:axId val="1404572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140477679"/>
        <c:crosses val="autoZero"/>
        <c:auto val="1"/>
        <c:lblAlgn val="ctr"/>
        <c:lblOffset val="100"/>
        <c:noMultiLvlLbl val="0"/>
      </c:catAx>
      <c:valAx>
        <c:axId val="140477679"/>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140457295"/>
        <c:crosses val="autoZero"/>
        <c:crossBetween val="between"/>
      </c:valAx>
      <c:spPr>
        <a:noFill/>
        <a:ln>
          <a:noFill/>
        </a:ln>
        <a:effectLst/>
      </c:spPr>
    </c:plotArea>
    <c:legend>
      <c:legendPos val="b"/>
      <c:layout>
        <c:manualLayout>
          <c:xMode val="edge"/>
          <c:yMode val="edge"/>
          <c:x val="0.33033432539682539"/>
          <c:y val="0.10063993055555559"/>
          <c:w val="0.37258974071443701"/>
          <c:h val="7.9151736111111107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r>
              <a:rPr lang="vi-VN" b="1"/>
              <a:t>Doanh thu - Chi phí qua các năm</a:t>
            </a:r>
            <a:endParaRPr lang="en-US" b="1"/>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barChart>
        <c:barDir val="col"/>
        <c:grouping val="clustered"/>
        <c:varyColors val="0"/>
        <c:ser>
          <c:idx val="0"/>
          <c:order val="0"/>
          <c:tx>
            <c:strRef>
              <c:f>'BÁO CÁO'!$A$73</c:f>
              <c:strCache>
                <c:ptCount val="1"/>
                <c:pt idx="0">
                  <c:v>DOANH THU</c:v>
                </c:pt>
              </c:strCache>
            </c:strRef>
          </c:tx>
          <c:spPr>
            <a:solidFill>
              <a:schemeClr val="accent1"/>
            </a:solidFill>
            <a:ln>
              <a:noFill/>
            </a:ln>
            <a:effectLst/>
          </c:spPr>
          <c:invertIfNegative val="0"/>
          <c:cat>
            <c:numRef>
              <c:f>'BÁO CÁO'!$B$72:$D$72</c:f>
              <c:numCache>
                <c:formatCode>General</c:formatCode>
                <c:ptCount val="3"/>
                <c:pt idx="0">
                  <c:v>2019</c:v>
                </c:pt>
                <c:pt idx="1">
                  <c:v>2020</c:v>
                </c:pt>
                <c:pt idx="2">
                  <c:v>2020</c:v>
                </c:pt>
              </c:numCache>
            </c:numRef>
          </c:cat>
          <c:val>
            <c:numRef>
              <c:f>'BÁO CÁO'!$B$73:$D$73</c:f>
              <c:numCache>
                <c:formatCode>#,##0</c:formatCode>
                <c:ptCount val="3"/>
                <c:pt idx="0">
                  <c:v>6375500</c:v>
                </c:pt>
                <c:pt idx="1">
                  <c:v>8895800</c:v>
                </c:pt>
                <c:pt idx="2">
                  <c:v>16026100</c:v>
                </c:pt>
              </c:numCache>
            </c:numRef>
          </c:val>
          <c:extLst>
            <c:ext xmlns:c16="http://schemas.microsoft.com/office/drawing/2014/chart" uri="{C3380CC4-5D6E-409C-BE32-E72D297353CC}">
              <c16:uniqueId val="{00000000-DF87-49A7-97B4-F1999E55B37A}"/>
            </c:ext>
          </c:extLst>
        </c:ser>
        <c:ser>
          <c:idx val="1"/>
          <c:order val="1"/>
          <c:tx>
            <c:strRef>
              <c:f>'BÁO CÁO'!$A$74</c:f>
              <c:strCache>
                <c:ptCount val="1"/>
                <c:pt idx="0">
                  <c:v>CHI PHÍ</c:v>
                </c:pt>
              </c:strCache>
            </c:strRef>
          </c:tx>
          <c:spPr>
            <a:solidFill>
              <a:schemeClr val="accent2"/>
            </a:solidFill>
            <a:ln>
              <a:noFill/>
            </a:ln>
            <a:effectLst/>
          </c:spPr>
          <c:invertIfNegative val="0"/>
          <c:cat>
            <c:numRef>
              <c:f>'BÁO CÁO'!$B$72:$D$72</c:f>
              <c:numCache>
                <c:formatCode>General</c:formatCode>
                <c:ptCount val="3"/>
                <c:pt idx="0">
                  <c:v>2019</c:v>
                </c:pt>
                <c:pt idx="1">
                  <c:v>2020</c:v>
                </c:pt>
                <c:pt idx="2">
                  <c:v>2020</c:v>
                </c:pt>
              </c:numCache>
            </c:numRef>
          </c:cat>
          <c:val>
            <c:numRef>
              <c:f>'BÁO CÁO'!$B$74:$D$74</c:f>
              <c:numCache>
                <c:formatCode>#,##0</c:formatCode>
                <c:ptCount val="3"/>
                <c:pt idx="0">
                  <c:v>7135425</c:v>
                </c:pt>
                <c:pt idx="1">
                  <c:v>9474867</c:v>
                </c:pt>
                <c:pt idx="2">
                  <c:v>15735523.300000001</c:v>
                </c:pt>
              </c:numCache>
            </c:numRef>
          </c:val>
          <c:extLst>
            <c:ext xmlns:c16="http://schemas.microsoft.com/office/drawing/2014/chart" uri="{C3380CC4-5D6E-409C-BE32-E72D297353CC}">
              <c16:uniqueId val="{00000001-DF87-49A7-97B4-F1999E55B37A}"/>
            </c:ext>
          </c:extLst>
        </c:ser>
        <c:dLbls>
          <c:showLegendKey val="0"/>
          <c:showVal val="0"/>
          <c:showCatName val="0"/>
          <c:showSerName val="0"/>
          <c:showPercent val="0"/>
          <c:showBubbleSize val="0"/>
        </c:dLbls>
        <c:gapWidth val="150"/>
        <c:axId val="140465615"/>
        <c:axId val="140478927"/>
      </c:barChart>
      <c:lineChart>
        <c:grouping val="standard"/>
        <c:varyColors val="0"/>
        <c:ser>
          <c:idx val="2"/>
          <c:order val="2"/>
          <c:tx>
            <c:strRef>
              <c:f>'BÁO CÁO'!$A$75</c:f>
              <c:strCache>
                <c:ptCount val="1"/>
                <c:pt idx="0">
                  <c:v>% CHI PHÍ / DOANH THU</c:v>
                </c:pt>
              </c:strCache>
            </c:strRef>
          </c:tx>
          <c:spPr>
            <a:ln w="28575" cap="rnd">
              <a:solidFill>
                <a:schemeClr val="accent3"/>
              </a:solidFill>
              <a:round/>
            </a:ln>
            <a:effectLst/>
          </c:spPr>
          <c:marker>
            <c:symbol val="none"/>
          </c:marker>
          <c:val>
            <c:numRef>
              <c:f>'BÁO CÁO'!$B$75:$D$75</c:f>
              <c:numCache>
                <c:formatCode>0%</c:formatCode>
                <c:ptCount val="3"/>
                <c:pt idx="0">
                  <c:v>1.1191945729746686</c:v>
                </c:pt>
                <c:pt idx="1">
                  <c:v>1.0650944265833315</c:v>
                </c:pt>
                <c:pt idx="2">
                  <c:v>0.98186853320520906</c:v>
                </c:pt>
              </c:numCache>
            </c:numRef>
          </c:val>
          <c:smooth val="0"/>
          <c:extLst>
            <c:ext xmlns:c16="http://schemas.microsoft.com/office/drawing/2014/chart" uri="{C3380CC4-5D6E-409C-BE32-E72D297353CC}">
              <c16:uniqueId val="{00000002-DF87-49A7-97B4-F1999E55B37A}"/>
            </c:ext>
          </c:extLst>
        </c:ser>
        <c:dLbls>
          <c:showLegendKey val="0"/>
          <c:showVal val="0"/>
          <c:showCatName val="0"/>
          <c:showSerName val="0"/>
          <c:showPercent val="0"/>
          <c:showBubbleSize val="0"/>
        </c:dLbls>
        <c:marker val="1"/>
        <c:smooth val="0"/>
        <c:axId val="2099119615"/>
        <c:axId val="2099100479"/>
      </c:lineChart>
      <c:catAx>
        <c:axId val="140465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140478927"/>
        <c:crosses val="autoZero"/>
        <c:auto val="1"/>
        <c:lblAlgn val="ctr"/>
        <c:lblOffset val="100"/>
        <c:noMultiLvlLbl val="0"/>
      </c:catAx>
      <c:valAx>
        <c:axId val="14047892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140465615"/>
        <c:crosses val="autoZero"/>
        <c:crossBetween val="between"/>
      </c:valAx>
      <c:valAx>
        <c:axId val="2099100479"/>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2099119615"/>
        <c:crosses val="max"/>
        <c:crossBetween val="between"/>
      </c:valAx>
      <c:catAx>
        <c:axId val="2099119615"/>
        <c:scaling>
          <c:orientation val="minMax"/>
        </c:scaling>
        <c:delete val="1"/>
        <c:axPos val="b"/>
        <c:majorTickMark val="out"/>
        <c:minorTickMark val="none"/>
        <c:tickLblPos val="nextTo"/>
        <c:crossAx val="2099100479"/>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r>
              <a:rPr lang="vi-VN"/>
              <a:t>NĂM</a:t>
            </a:r>
            <a:r>
              <a:rPr lang="vi-VN" baseline="0"/>
              <a:t> 2020</a:t>
            </a:r>
            <a:endParaRPr lang="en-US"/>
          </a:p>
        </c:rich>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80CF-464B-B06C-8C4B3D0D4D32}"/>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80CF-464B-B06C-8C4B3D0D4D32}"/>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80CF-464B-B06C-8C4B3D0D4D32}"/>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80CF-464B-B06C-8C4B3D0D4D32}"/>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80CF-464B-B06C-8C4B3D0D4D32}"/>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80CF-464B-B06C-8C4B3D0D4D32}"/>
              </c:ext>
            </c:extLst>
          </c:dPt>
          <c:dLbls>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1000" b="1"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'BÁO CÁO'!$A$17:$A$22</c:f>
              <c:strCache>
                <c:ptCount val="6"/>
                <c:pt idx="0">
                  <c:v>DT THEO SẢN PHẨM</c:v>
                </c:pt>
                <c:pt idx="1">
                  <c:v>SẢN PHẨM 1</c:v>
                </c:pt>
                <c:pt idx="2">
                  <c:v>SẢN PHẨM 2</c:v>
                </c:pt>
                <c:pt idx="3">
                  <c:v>SẢN PHẨM 3</c:v>
                </c:pt>
                <c:pt idx="4">
                  <c:v>SẢN PHẨM 4</c:v>
                </c:pt>
                <c:pt idx="5">
                  <c:v>SẢN PHẨM 5</c:v>
                </c:pt>
              </c:strCache>
            </c:strRef>
          </c:cat>
          <c:val>
            <c:numRef>
              <c:f>'BÁO CÁO'!$C$17:$C$22</c:f>
              <c:numCache>
                <c:formatCode>#,##0</c:formatCode>
                <c:ptCount val="6"/>
                <c:pt idx="1">
                  <c:v>675000</c:v>
                </c:pt>
                <c:pt idx="2">
                  <c:v>1825600</c:v>
                </c:pt>
                <c:pt idx="3">
                  <c:v>2576000</c:v>
                </c:pt>
                <c:pt idx="4">
                  <c:v>2335200</c:v>
                </c:pt>
                <c:pt idx="5">
                  <c:v>1484000</c:v>
                </c:pt>
              </c:numCache>
            </c:numRef>
          </c:val>
          <c:extLst>
            <c:ext xmlns:c16="http://schemas.microsoft.com/office/drawing/2014/chart" uri="{C3380CC4-5D6E-409C-BE32-E72D297353CC}">
              <c16:uniqueId val="{0000000C-80CF-464B-B06C-8C4B3D0D4D32}"/>
            </c:ext>
          </c:extLst>
        </c:ser>
        <c:ser>
          <c:idx val="1"/>
          <c:order val="1"/>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D-3DBE-4FCE-A832-18614A10A41C}"/>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F-3DBE-4FCE-A832-18614A10A41C}"/>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1-3DBE-4FCE-A832-18614A10A41C}"/>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3-3DBE-4FCE-A832-18614A10A41C}"/>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5-3DBE-4FCE-A832-18614A10A41C}"/>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7-3DBE-4FCE-A832-18614A10A41C}"/>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1000" b="1"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'BÁO CÁO'!$A$17:$A$22</c:f>
              <c:strCache>
                <c:ptCount val="6"/>
                <c:pt idx="0">
                  <c:v>DT THEO SẢN PHẨM</c:v>
                </c:pt>
                <c:pt idx="1">
                  <c:v>SẢN PHẨM 1</c:v>
                </c:pt>
                <c:pt idx="2">
                  <c:v>SẢN PHẨM 2</c:v>
                </c:pt>
                <c:pt idx="3">
                  <c:v>SẢN PHẨM 3</c:v>
                </c:pt>
                <c:pt idx="4">
                  <c:v>SẢN PHẨM 4</c:v>
                </c:pt>
                <c:pt idx="5">
                  <c:v>SẢN PHẨM 5</c:v>
                </c:pt>
              </c:strCache>
            </c:strRef>
          </c:cat>
          <c:val>
            <c:numRef>
              <c:f>'BÁO CÁO'!$C$17:$C$22</c:f>
              <c:numCache>
                <c:formatCode>#,##0</c:formatCode>
                <c:ptCount val="6"/>
                <c:pt idx="1">
                  <c:v>675000</c:v>
                </c:pt>
                <c:pt idx="2">
                  <c:v>1825600</c:v>
                </c:pt>
                <c:pt idx="3">
                  <c:v>2576000</c:v>
                </c:pt>
                <c:pt idx="4">
                  <c:v>2335200</c:v>
                </c:pt>
                <c:pt idx="5">
                  <c:v>1484000</c:v>
                </c:pt>
              </c:numCache>
            </c:numRef>
          </c:val>
          <c:extLst>
            <c:ext xmlns:c16="http://schemas.microsoft.com/office/drawing/2014/chart" uri="{C3380CC4-5D6E-409C-BE32-E72D297353CC}">
              <c16:uniqueId val="{0000000D-80CF-464B-B06C-8C4B3D0D4D32}"/>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egendEntry>
        <c:idx val="0"/>
        <c:delete val="1"/>
      </c:legendEntry>
      <c:overlay val="0"/>
      <c:spPr>
        <a:solidFill>
          <a:schemeClr val="lt1">
            <a:lumMod val="95000"/>
            <a:alpha val="39000"/>
          </a:schemeClr>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100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r>
              <a:rPr lang="vi-VN" b="1"/>
              <a:t>Biểu đồ thể hiện doanh thu theo từng dòng sản phẩm</a:t>
            </a:r>
            <a:endParaRPr lang="en-US" b="1"/>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barChart>
        <c:barDir val="col"/>
        <c:grouping val="stacked"/>
        <c:varyColors val="0"/>
        <c:ser>
          <c:idx val="0"/>
          <c:order val="0"/>
          <c:tx>
            <c:strRef>
              <c:f>'BÁO CÁO'!$A$18</c:f>
              <c:strCache>
                <c:ptCount val="1"/>
                <c:pt idx="0">
                  <c:v>SẢN PHẨM 1</c:v>
                </c:pt>
              </c:strCache>
            </c:strRef>
          </c:tx>
          <c:spPr>
            <a:solidFill>
              <a:schemeClr val="accent6"/>
            </a:solidFill>
            <a:ln>
              <a:noFill/>
            </a:ln>
            <a:effectLst/>
          </c:spPr>
          <c:invertIfNegative val="0"/>
          <c:cat>
            <c:numRef>
              <c:f>'BÁO CÁO'!$B$13:$D$13</c:f>
              <c:numCache>
                <c:formatCode>General</c:formatCode>
                <c:ptCount val="3"/>
                <c:pt idx="0">
                  <c:v>2019</c:v>
                </c:pt>
                <c:pt idx="1">
                  <c:v>2020</c:v>
                </c:pt>
                <c:pt idx="2">
                  <c:v>2021</c:v>
                </c:pt>
              </c:numCache>
            </c:numRef>
          </c:cat>
          <c:val>
            <c:numRef>
              <c:f>'BÁO CÁO'!$B$18:$D$18</c:f>
              <c:numCache>
                <c:formatCode>#,##0</c:formatCode>
                <c:ptCount val="3"/>
                <c:pt idx="0">
                  <c:v>410000</c:v>
                </c:pt>
                <c:pt idx="1">
                  <c:v>675000</c:v>
                </c:pt>
                <c:pt idx="2">
                  <c:v>1012500</c:v>
                </c:pt>
              </c:numCache>
            </c:numRef>
          </c:val>
          <c:extLst>
            <c:ext xmlns:c16="http://schemas.microsoft.com/office/drawing/2014/chart" uri="{C3380CC4-5D6E-409C-BE32-E72D297353CC}">
              <c16:uniqueId val="{00000000-F1C8-4574-BBF8-2BC1B8FD4D9C}"/>
            </c:ext>
          </c:extLst>
        </c:ser>
        <c:ser>
          <c:idx val="1"/>
          <c:order val="1"/>
          <c:tx>
            <c:strRef>
              <c:f>'BÁO CÁO'!$A$19</c:f>
              <c:strCache>
                <c:ptCount val="1"/>
                <c:pt idx="0">
                  <c:v>SẢN PHẨM 2</c:v>
                </c:pt>
              </c:strCache>
            </c:strRef>
          </c:tx>
          <c:spPr>
            <a:solidFill>
              <a:schemeClr val="accent5"/>
            </a:solidFill>
            <a:ln>
              <a:noFill/>
            </a:ln>
            <a:effectLst/>
          </c:spPr>
          <c:invertIfNegative val="0"/>
          <c:cat>
            <c:numRef>
              <c:f>'BÁO CÁO'!$B$13:$D$13</c:f>
              <c:numCache>
                <c:formatCode>General</c:formatCode>
                <c:ptCount val="3"/>
                <c:pt idx="0">
                  <c:v>2019</c:v>
                </c:pt>
                <c:pt idx="1">
                  <c:v>2020</c:v>
                </c:pt>
                <c:pt idx="2">
                  <c:v>2021</c:v>
                </c:pt>
              </c:numCache>
            </c:numRef>
          </c:cat>
          <c:val>
            <c:numRef>
              <c:f>'BÁO CÁO'!$B$19:$D$19</c:f>
              <c:numCache>
                <c:formatCode>#,##0</c:formatCode>
                <c:ptCount val="3"/>
                <c:pt idx="0">
                  <c:v>1793000</c:v>
                </c:pt>
                <c:pt idx="1">
                  <c:v>1825600</c:v>
                </c:pt>
                <c:pt idx="2">
                  <c:v>2738400</c:v>
                </c:pt>
              </c:numCache>
            </c:numRef>
          </c:val>
          <c:extLst>
            <c:ext xmlns:c16="http://schemas.microsoft.com/office/drawing/2014/chart" uri="{C3380CC4-5D6E-409C-BE32-E72D297353CC}">
              <c16:uniqueId val="{00000001-F1C8-4574-BBF8-2BC1B8FD4D9C}"/>
            </c:ext>
          </c:extLst>
        </c:ser>
        <c:ser>
          <c:idx val="2"/>
          <c:order val="2"/>
          <c:tx>
            <c:strRef>
              <c:f>'BÁO CÁO'!$A$20</c:f>
              <c:strCache>
                <c:ptCount val="1"/>
                <c:pt idx="0">
                  <c:v>SẢN PHẨM 3</c:v>
                </c:pt>
              </c:strCache>
            </c:strRef>
          </c:tx>
          <c:spPr>
            <a:solidFill>
              <a:schemeClr val="accent4"/>
            </a:solidFill>
            <a:ln>
              <a:noFill/>
            </a:ln>
            <a:effectLst/>
          </c:spPr>
          <c:invertIfNegative val="0"/>
          <c:cat>
            <c:numRef>
              <c:f>'BÁO CÁO'!$B$13:$D$13</c:f>
              <c:numCache>
                <c:formatCode>General</c:formatCode>
                <c:ptCount val="3"/>
                <c:pt idx="0">
                  <c:v>2019</c:v>
                </c:pt>
                <c:pt idx="1">
                  <c:v>2020</c:v>
                </c:pt>
                <c:pt idx="2">
                  <c:v>2021</c:v>
                </c:pt>
              </c:numCache>
            </c:numRef>
          </c:cat>
          <c:val>
            <c:numRef>
              <c:f>'BÁO CÁO'!$B$20:$D$20</c:f>
              <c:numCache>
                <c:formatCode>#,##0</c:formatCode>
                <c:ptCount val="3"/>
                <c:pt idx="0">
                  <c:v>1587500</c:v>
                </c:pt>
                <c:pt idx="1">
                  <c:v>2576000</c:v>
                </c:pt>
                <c:pt idx="2">
                  <c:v>4636800</c:v>
                </c:pt>
              </c:numCache>
            </c:numRef>
          </c:val>
          <c:extLst>
            <c:ext xmlns:c16="http://schemas.microsoft.com/office/drawing/2014/chart" uri="{C3380CC4-5D6E-409C-BE32-E72D297353CC}">
              <c16:uniqueId val="{00000002-F1C8-4574-BBF8-2BC1B8FD4D9C}"/>
            </c:ext>
          </c:extLst>
        </c:ser>
        <c:ser>
          <c:idx val="3"/>
          <c:order val="3"/>
          <c:tx>
            <c:strRef>
              <c:f>'BÁO CÁO'!$A$21</c:f>
              <c:strCache>
                <c:ptCount val="1"/>
                <c:pt idx="0">
                  <c:v>SẢN PHẨM 4</c:v>
                </c:pt>
              </c:strCache>
            </c:strRef>
          </c:tx>
          <c:spPr>
            <a:solidFill>
              <a:schemeClr val="accent6">
                <a:lumMod val="60000"/>
              </a:schemeClr>
            </a:solidFill>
            <a:ln>
              <a:noFill/>
            </a:ln>
            <a:effectLst/>
          </c:spPr>
          <c:invertIfNegative val="0"/>
          <c:cat>
            <c:numRef>
              <c:f>'BÁO CÁO'!$B$13:$D$13</c:f>
              <c:numCache>
                <c:formatCode>General</c:formatCode>
                <c:ptCount val="3"/>
                <c:pt idx="0">
                  <c:v>2019</c:v>
                </c:pt>
                <c:pt idx="1">
                  <c:v>2020</c:v>
                </c:pt>
                <c:pt idx="2">
                  <c:v>2021</c:v>
                </c:pt>
              </c:numCache>
            </c:numRef>
          </c:cat>
          <c:val>
            <c:numRef>
              <c:f>'BÁO CÁO'!$B$21:$D$21</c:f>
              <c:numCache>
                <c:formatCode>#,##0</c:formatCode>
                <c:ptCount val="3"/>
                <c:pt idx="0">
                  <c:v>1451000</c:v>
                </c:pt>
                <c:pt idx="1">
                  <c:v>2335200</c:v>
                </c:pt>
                <c:pt idx="2">
                  <c:v>4670400</c:v>
                </c:pt>
              </c:numCache>
            </c:numRef>
          </c:val>
          <c:extLst>
            <c:ext xmlns:c16="http://schemas.microsoft.com/office/drawing/2014/chart" uri="{C3380CC4-5D6E-409C-BE32-E72D297353CC}">
              <c16:uniqueId val="{00000003-F1C8-4574-BBF8-2BC1B8FD4D9C}"/>
            </c:ext>
          </c:extLst>
        </c:ser>
        <c:ser>
          <c:idx val="4"/>
          <c:order val="4"/>
          <c:tx>
            <c:strRef>
              <c:f>'BÁO CÁO'!$A$22</c:f>
              <c:strCache>
                <c:ptCount val="1"/>
                <c:pt idx="0">
                  <c:v>SẢN PHẨM 5</c:v>
                </c:pt>
              </c:strCache>
            </c:strRef>
          </c:tx>
          <c:spPr>
            <a:solidFill>
              <a:schemeClr val="accent5">
                <a:lumMod val="60000"/>
              </a:schemeClr>
            </a:solidFill>
            <a:ln>
              <a:noFill/>
            </a:ln>
            <a:effectLst/>
          </c:spPr>
          <c:invertIfNegative val="0"/>
          <c:cat>
            <c:numRef>
              <c:f>'BÁO CÁO'!$B$13:$D$13</c:f>
              <c:numCache>
                <c:formatCode>General</c:formatCode>
                <c:ptCount val="3"/>
                <c:pt idx="0">
                  <c:v>2019</c:v>
                </c:pt>
                <c:pt idx="1">
                  <c:v>2020</c:v>
                </c:pt>
                <c:pt idx="2">
                  <c:v>2021</c:v>
                </c:pt>
              </c:numCache>
            </c:numRef>
          </c:cat>
          <c:val>
            <c:numRef>
              <c:f>'BÁO CÁO'!$B$22:$D$22</c:f>
              <c:numCache>
                <c:formatCode>#,##0</c:formatCode>
                <c:ptCount val="3"/>
                <c:pt idx="0">
                  <c:v>1134000</c:v>
                </c:pt>
                <c:pt idx="1">
                  <c:v>1484000</c:v>
                </c:pt>
                <c:pt idx="2">
                  <c:v>2968000</c:v>
                </c:pt>
              </c:numCache>
            </c:numRef>
          </c:val>
          <c:extLst>
            <c:ext xmlns:c16="http://schemas.microsoft.com/office/drawing/2014/chart" uri="{C3380CC4-5D6E-409C-BE32-E72D297353CC}">
              <c16:uniqueId val="{00000004-F1C8-4574-BBF8-2BC1B8FD4D9C}"/>
            </c:ext>
          </c:extLst>
        </c:ser>
        <c:dLbls>
          <c:showLegendKey val="0"/>
          <c:showVal val="0"/>
          <c:showCatName val="0"/>
          <c:showSerName val="0"/>
          <c:showPercent val="0"/>
          <c:showBubbleSize val="0"/>
        </c:dLbls>
        <c:gapWidth val="150"/>
        <c:overlap val="100"/>
        <c:axId val="2093707983"/>
        <c:axId val="2093709231"/>
      </c:barChart>
      <c:lineChart>
        <c:grouping val="standard"/>
        <c:varyColors val="0"/>
        <c:ser>
          <c:idx val="5"/>
          <c:order val="5"/>
          <c:tx>
            <c:strRef>
              <c:f>'BÁO CÁO'!$A$25</c:f>
              <c:strCache>
                <c:ptCount val="1"/>
                <c:pt idx="0">
                  <c:v>TLTT SẢN PHẨM 1</c:v>
                </c:pt>
              </c:strCache>
            </c:strRef>
          </c:tx>
          <c:spPr>
            <a:ln w="28575" cap="rnd">
              <a:solidFill>
                <a:schemeClr val="accent6"/>
              </a:solidFill>
              <a:round/>
            </a:ln>
            <a:effectLst/>
          </c:spPr>
          <c:marker>
            <c:symbol val="none"/>
          </c:marker>
          <c:cat>
            <c:numRef>
              <c:f>'BÁO CÁO'!$B$13:$D$13</c:f>
              <c:numCache>
                <c:formatCode>General</c:formatCode>
                <c:ptCount val="3"/>
                <c:pt idx="0">
                  <c:v>2019</c:v>
                </c:pt>
                <c:pt idx="1">
                  <c:v>2020</c:v>
                </c:pt>
                <c:pt idx="2">
                  <c:v>2021</c:v>
                </c:pt>
              </c:numCache>
            </c:numRef>
          </c:cat>
          <c:val>
            <c:numRef>
              <c:f>'BÁO CÁO'!$B$25:$D$25</c:f>
              <c:numCache>
                <c:formatCode>0%</c:formatCode>
                <c:ptCount val="3"/>
                <c:pt idx="0" formatCode="General">
                  <c:v>0</c:v>
                </c:pt>
                <c:pt idx="1">
                  <c:v>1.6463414634146341</c:v>
                </c:pt>
                <c:pt idx="2">
                  <c:v>1.5</c:v>
                </c:pt>
              </c:numCache>
            </c:numRef>
          </c:val>
          <c:smooth val="0"/>
          <c:extLst>
            <c:ext xmlns:c16="http://schemas.microsoft.com/office/drawing/2014/chart" uri="{C3380CC4-5D6E-409C-BE32-E72D297353CC}">
              <c16:uniqueId val="{00000005-F1C8-4574-BBF8-2BC1B8FD4D9C}"/>
            </c:ext>
          </c:extLst>
        </c:ser>
        <c:ser>
          <c:idx val="6"/>
          <c:order val="6"/>
          <c:tx>
            <c:strRef>
              <c:f>'BÁO CÁO'!$A$26</c:f>
              <c:strCache>
                <c:ptCount val="1"/>
                <c:pt idx="0">
                  <c:v>TLTT SẢN PHẨM 2</c:v>
                </c:pt>
              </c:strCache>
            </c:strRef>
          </c:tx>
          <c:spPr>
            <a:ln w="28575" cap="rnd">
              <a:solidFill>
                <a:schemeClr val="accent5"/>
              </a:solidFill>
              <a:round/>
            </a:ln>
            <a:effectLst/>
          </c:spPr>
          <c:marker>
            <c:symbol val="none"/>
          </c:marker>
          <c:cat>
            <c:numRef>
              <c:f>'BÁO CÁO'!$B$13:$D$13</c:f>
              <c:numCache>
                <c:formatCode>General</c:formatCode>
                <c:ptCount val="3"/>
                <c:pt idx="0">
                  <c:v>2019</c:v>
                </c:pt>
                <c:pt idx="1">
                  <c:v>2020</c:v>
                </c:pt>
                <c:pt idx="2">
                  <c:v>2021</c:v>
                </c:pt>
              </c:numCache>
            </c:numRef>
          </c:cat>
          <c:val>
            <c:numRef>
              <c:f>'BÁO CÁO'!$B$26:$D$26</c:f>
              <c:numCache>
                <c:formatCode>0%</c:formatCode>
                <c:ptCount val="3"/>
                <c:pt idx="0" formatCode="General">
                  <c:v>0</c:v>
                </c:pt>
                <c:pt idx="1">
                  <c:v>1.0181818181818181</c:v>
                </c:pt>
                <c:pt idx="2">
                  <c:v>1.5</c:v>
                </c:pt>
              </c:numCache>
            </c:numRef>
          </c:val>
          <c:smooth val="0"/>
          <c:extLst>
            <c:ext xmlns:c16="http://schemas.microsoft.com/office/drawing/2014/chart" uri="{C3380CC4-5D6E-409C-BE32-E72D297353CC}">
              <c16:uniqueId val="{00000006-F1C8-4574-BBF8-2BC1B8FD4D9C}"/>
            </c:ext>
          </c:extLst>
        </c:ser>
        <c:ser>
          <c:idx val="7"/>
          <c:order val="7"/>
          <c:tx>
            <c:strRef>
              <c:f>'BÁO CÁO'!$A$27</c:f>
              <c:strCache>
                <c:ptCount val="1"/>
                <c:pt idx="0">
                  <c:v>TLTT SẢN PHẨM 3</c:v>
                </c:pt>
              </c:strCache>
            </c:strRef>
          </c:tx>
          <c:spPr>
            <a:ln w="28575" cap="rnd">
              <a:solidFill>
                <a:schemeClr val="accent4"/>
              </a:solidFill>
              <a:round/>
            </a:ln>
            <a:effectLst/>
          </c:spPr>
          <c:marker>
            <c:symbol val="none"/>
          </c:marker>
          <c:cat>
            <c:numRef>
              <c:f>'BÁO CÁO'!$B$13:$D$13</c:f>
              <c:numCache>
                <c:formatCode>General</c:formatCode>
                <c:ptCount val="3"/>
                <c:pt idx="0">
                  <c:v>2019</c:v>
                </c:pt>
                <c:pt idx="1">
                  <c:v>2020</c:v>
                </c:pt>
                <c:pt idx="2">
                  <c:v>2021</c:v>
                </c:pt>
              </c:numCache>
            </c:numRef>
          </c:cat>
          <c:val>
            <c:numRef>
              <c:f>'BÁO CÁO'!$B$27:$D$27</c:f>
              <c:numCache>
                <c:formatCode>0%</c:formatCode>
                <c:ptCount val="3"/>
                <c:pt idx="0" formatCode="General">
                  <c:v>0</c:v>
                </c:pt>
                <c:pt idx="1">
                  <c:v>1.6226771653543308</c:v>
                </c:pt>
                <c:pt idx="2">
                  <c:v>1.8</c:v>
                </c:pt>
              </c:numCache>
            </c:numRef>
          </c:val>
          <c:smooth val="0"/>
          <c:extLst>
            <c:ext xmlns:c16="http://schemas.microsoft.com/office/drawing/2014/chart" uri="{C3380CC4-5D6E-409C-BE32-E72D297353CC}">
              <c16:uniqueId val="{00000007-F1C8-4574-BBF8-2BC1B8FD4D9C}"/>
            </c:ext>
          </c:extLst>
        </c:ser>
        <c:ser>
          <c:idx val="8"/>
          <c:order val="8"/>
          <c:tx>
            <c:strRef>
              <c:f>'BÁO CÁO'!$A$28</c:f>
              <c:strCache>
                <c:ptCount val="1"/>
                <c:pt idx="0">
                  <c:v>TLTT SẢN PHẨM 4</c:v>
                </c:pt>
              </c:strCache>
            </c:strRef>
          </c:tx>
          <c:spPr>
            <a:ln w="28575" cap="rnd">
              <a:solidFill>
                <a:schemeClr val="accent6">
                  <a:lumMod val="50000"/>
                </a:schemeClr>
              </a:solidFill>
              <a:round/>
            </a:ln>
            <a:effectLst/>
          </c:spPr>
          <c:marker>
            <c:symbol val="none"/>
          </c:marker>
          <c:cat>
            <c:numRef>
              <c:f>'BÁO CÁO'!$B$13:$D$13</c:f>
              <c:numCache>
                <c:formatCode>General</c:formatCode>
                <c:ptCount val="3"/>
                <c:pt idx="0">
                  <c:v>2019</c:v>
                </c:pt>
                <c:pt idx="1">
                  <c:v>2020</c:v>
                </c:pt>
                <c:pt idx="2">
                  <c:v>2021</c:v>
                </c:pt>
              </c:numCache>
            </c:numRef>
          </c:cat>
          <c:val>
            <c:numRef>
              <c:f>'BÁO CÁO'!$B$28:$D$28</c:f>
              <c:numCache>
                <c:formatCode>0%</c:formatCode>
                <c:ptCount val="3"/>
                <c:pt idx="0" formatCode="General">
                  <c:v>0</c:v>
                </c:pt>
                <c:pt idx="1">
                  <c:v>1.6093728463128876</c:v>
                </c:pt>
                <c:pt idx="2">
                  <c:v>2</c:v>
                </c:pt>
              </c:numCache>
            </c:numRef>
          </c:val>
          <c:smooth val="0"/>
          <c:extLst>
            <c:ext xmlns:c16="http://schemas.microsoft.com/office/drawing/2014/chart" uri="{C3380CC4-5D6E-409C-BE32-E72D297353CC}">
              <c16:uniqueId val="{00000008-F1C8-4574-BBF8-2BC1B8FD4D9C}"/>
            </c:ext>
          </c:extLst>
        </c:ser>
        <c:ser>
          <c:idx val="9"/>
          <c:order val="9"/>
          <c:tx>
            <c:strRef>
              <c:f>'BÁO CÁO'!$A$29</c:f>
              <c:strCache>
                <c:ptCount val="1"/>
                <c:pt idx="0">
                  <c:v>TLTT SẢN PHẨM 5</c:v>
                </c:pt>
              </c:strCache>
            </c:strRef>
          </c:tx>
          <c:spPr>
            <a:ln w="28575" cap="rnd">
              <a:solidFill>
                <a:schemeClr val="accent1">
                  <a:lumMod val="50000"/>
                </a:schemeClr>
              </a:solidFill>
              <a:round/>
            </a:ln>
            <a:effectLst/>
          </c:spPr>
          <c:marker>
            <c:symbol val="none"/>
          </c:marker>
          <c:cat>
            <c:numRef>
              <c:f>'BÁO CÁO'!$B$13:$D$13</c:f>
              <c:numCache>
                <c:formatCode>General</c:formatCode>
                <c:ptCount val="3"/>
                <c:pt idx="0">
                  <c:v>2019</c:v>
                </c:pt>
                <c:pt idx="1">
                  <c:v>2020</c:v>
                </c:pt>
                <c:pt idx="2">
                  <c:v>2021</c:v>
                </c:pt>
              </c:numCache>
            </c:numRef>
          </c:cat>
          <c:val>
            <c:numRef>
              <c:f>'BÁO CÁO'!$B$29:$D$29</c:f>
              <c:numCache>
                <c:formatCode>0%</c:formatCode>
                <c:ptCount val="3"/>
                <c:pt idx="0" formatCode="General">
                  <c:v>0</c:v>
                </c:pt>
                <c:pt idx="1">
                  <c:v>1.308641975308642</c:v>
                </c:pt>
                <c:pt idx="2">
                  <c:v>2</c:v>
                </c:pt>
              </c:numCache>
            </c:numRef>
          </c:val>
          <c:smooth val="0"/>
          <c:extLst>
            <c:ext xmlns:c16="http://schemas.microsoft.com/office/drawing/2014/chart" uri="{C3380CC4-5D6E-409C-BE32-E72D297353CC}">
              <c16:uniqueId val="{00000009-F1C8-4574-BBF8-2BC1B8FD4D9C}"/>
            </c:ext>
          </c:extLst>
        </c:ser>
        <c:dLbls>
          <c:showLegendKey val="0"/>
          <c:showVal val="0"/>
          <c:showCatName val="0"/>
          <c:showSerName val="0"/>
          <c:showPercent val="0"/>
          <c:showBubbleSize val="0"/>
        </c:dLbls>
        <c:marker val="1"/>
        <c:smooth val="0"/>
        <c:axId val="84618607"/>
        <c:axId val="84614863"/>
      </c:lineChart>
      <c:catAx>
        <c:axId val="20937079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2093709231"/>
        <c:crosses val="autoZero"/>
        <c:auto val="1"/>
        <c:lblAlgn val="ctr"/>
        <c:lblOffset val="100"/>
        <c:noMultiLvlLbl val="0"/>
      </c:catAx>
      <c:valAx>
        <c:axId val="209370923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2093707983"/>
        <c:crosses val="autoZero"/>
        <c:crossBetween val="between"/>
      </c:valAx>
      <c:valAx>
        <c:axId val="84614863"/>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84618607"/>
        <c:crosses val="max"/>
        <c:crossBetween val="between"/>
      </c:valAx>
      <c:catAx>
        <c:axId val="84618607"/>
        <c:scaling>
          <c:orientation val="minMax"/>
        </c:scaling>
        <c:delete val="1"/>
        <c:axPos val="b"/>
        <c:numFmt formatCode="General" sourceLinked="1"/>
        <c:majorTickMark val="out"/>
        <c:minorTickMark val="none"/>
        <c:tickLblPos val="nextTo"/>
        <c:crossAx val="84614863"/>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600" b="1" i="0" u="none" strike="noStrike" kern="1200" spc="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r>
              <a:rPr lang="vi-VN" b="1"/>
              <a:t>NĂM</a:t>
            </a:r>
            <a:r>
              <a:rPr lang="vi-VN" b="1" baseline="0"/>
              <a:t> 2019</a:t>
            </a:r>
            <a:endParaRPr lang="en-US" b="1"/>
          </a:p>
        </c:rich>
      </c:tx>
      <c:overlay val="0"/>
      <c:spPr>
        <a:noFill/>
        <a:ln>
          <a:noFill/>
        </a:ln>
        <a:effectLst/>
      </c:spPr>
      <c:txPr>
        <a:bodyPr rot="0" spcFirstLastPara="1" vertOverflow="ellipsis" vert="horz" wrap="square" anchor="ctr" anchorCtr="1"/>
        <a:lstStyle/>
        <a:p>
          <a:pPr>
            <a:defRPr sz="600" b="1" i="0" u="none" strike="noStrike" kern="1200" spc="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manualLayout>
          <c:layoutTarget val="inner"/>
          <c:xMode val="edge"/>
          <c:yMode val="edge"/>
          <c:x val="0.11353968253968254"/>
          <c:y val="0.21321722222222222"/>
          <c:w val="0.7077821428571428"/>
          <c:h val="0.52827500000000005"/>
        </c:manualLayout>
      </c:layout>
      <c:barChart>
        <c:barDir val="col"/>
        <c:grouping val="clustered"/>
        <c:varyColors val="0"/>
        <c:ser>
          <c:idx val="1"/>
          <c:order val="1"/>
          <c:tx>
            <c:strRef>
              <c:f>'BÁO CÁO'!$A$43:$D$43</c:f>
              <c:strCache>
                <c:ptCount val="1"/>
                <c:pt idx="0">
                  <c:v>CHI PHÍ</c:v>
                </c:pt>
              </c:strCache>
            </c:strRef>
          </c:tx>
          <c:spPr>
            <a:solidFill>
              <a:schemeClr val="accent2"/>
            </a:solidFill>
            <a:ln>
              <a:noFill/>
            </a:ln>
            <a:effectLst/>
          </c:spPr>
          <c:invertIfNegative val="0"/>
          <c:cat>
            <c:strRef>
              <c:f>'BÁO CÁO'!$A$58:$A$66</c:f>
              <c:strCache>
                <c:ptCount val="9"/>
                <c:pt idx="0">
                  <c:v>Chi VP</c:v>
                </c:pt>
                <c:pt idx="1">
                  <c:v>Chi nhân viên</c:v>
                </c:pt>
                <c:pt idx="2">
                  <c:v>Chi Marketing</c:v>
                </c:pt>
                <c:pt idx="3">
                  <c:v>Chi khác</c:v>
                </c:pt>
                <c:pt idx="4">
                  <c:v>Chi khấu hao</c:v>
                </c:pt>
                <c:pt idx="5">
                  <c:v>Giá vốn hàng bán</c:v>
                </c:pt>
                <c:pt idx="6">
                  <c:v>Lương KD</c:v>
                </c:pt>
                <c:pt idx="7">
                  <c:v>Chiết khấu đại lý</c:v>
                </c:pt>
                <c:pt idx="8">
                  <c:v>Chi phí bán hàng</c:v>
                </c:pt>
              </c:strCache>
            </c:strRef>
          </c:cat>
          <c:val>
            <c:numRef>
              <c:f>'BÁO CÁO'!$B$45:$B$53</c:f>
              <c:numCache>
                <c:formatCode>_(* #,##0_);_(* \(#,##0\);_(* "-"??_);_(@_)</c:formatCode>
                <c:ptCount val="9"/>
                <c:pt idx="0">
                  <c:v>637550</c:v>
                </c:pt>
                <c:pt idx="1">
                  <c:v>892570.00000000012</c:v>
                </c:pt>
                <c:pt idx="2">
                  <c:v>1275100</c:v>
                </c:pt>
                <c:pt idx="3">
                  <c:v>137510</c:v>
                </c:pt>
                <c:pt idx="4">
                  <c:v>662500</c:v>
                </c:pt>
                <c:pt idx="5">
                  <c:v>1630500</c:v>
                </c:pt>
                <c:pt idx="6">
                  <c:v>191265</c:v>
                </c:pt>
                <c:pt idx="7">
                  <c:v>1517165</c:v>
                </c:pt>
                <c:pt idx="8">
                  <c:v>191265</c:v>
                </c:pt>
              </c:numCache>
            </c:numRef>
          </c:val>
          <c:extLst>
            <c:ext xmlns:c16="http://schemas.microsoft.com/office/drawing/2014/chart" uri="{C3380CC4-5D6E-409C-BE32-E72D297353CC}">
              <c16:uniqueId val="{00000001-B7EF-4152-B3C5-40F5EA93CB48}"/>
            </c:ext>
          </c:extLst>
        </c:ser>
        <c:dLbls>
          <c:showLegendKey val="0"/>
          <c:showVal val="0"/>
          <c:showCatName val="0"/>
          <c:showSerName val="0"/>
          <c:showPercent val="0"/>
          <c:showBubbleSize val="0"/>
        </c:dLbls>
        <c:gapWidth val="150"/>
        <c:axId val="2099124607"/>
        <c:axId val="2099124191"/>
      </c:barChart>
      <c:lineChart>
        <c:grouping val="standard"/>
        <c:varyColors val="0"/>
        <c:ser>
          <c:idx val="0"/>
          <c:order val="0"/>
          <c:tx>
            <c:strRef>
              <c:f>'BÁO CÁO'!$A$56:$D$56</c:f>
              <c:strCache>
                <c:ptCount val="1"/>
                <c:pt idx="0">
                  <c:v>CHI PHÍ % TRÊN DOANH THU</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5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'BÁO CÁO'!$A$58:$A$66</c:f>
              <c:strCache>
                <c:ptCount val="9"/>
                <c:pt idx="0">
                  <c:v>Chi VP</c:v>
                </c:pt>
                <c:pt idx="1">
                  <c:v>Chi nhân viên</c:v>
                </c:pt>
                <c:pt idx="2">
                  <c:v>Chi Marketing</c:v>
                </c:pt>
                <c:pt idx="3">
                  <c:v>Chi khác</c:v>
                </c:pt>
                <c:pt idx="4">
                  <c:v>Chi khấu hao</c:v>
                </c:pt>
                <c:pt idx="5">
                  <c:v>Giá vốn hàng bán</c:v>
                </c:pt>
                <c:pt idx="6">
                  <c:v>Lương KD</c:v>
                </c:pt>
                <c:pt idx="7">
                  <c:v>Chiết khấu đại lý</c:v>
                </c:pt>
                <c:pt idx="8">
                  <c:v>Chi phí bán hàng</c:v>
                </c:pt>
              </c:strCache>
            </c:strRef>
          </c:cat>
          <c:val>
            <c:numRef>
              <c:f>'BÁO CÁO'!$B$58:$B$66</c:f>
              <c:numCache>
                <c:formatCode>0%</c:formatCode>
                <c:ptCount val="9"/>
                <c:pt idx="0">
                  <c:v>0.1</c:v>
                </c:pt>
                <c:pt idx="1">
                  <c:v>0.14000000000000001</c:v>
                </c:pt>
                <c:pt idx="2">
                  <c:v>0.2</c:v>
                </c:pt>
                <c:pt idx="3">
                  <c:v>2.1568504431025017E-2</c:v>
                </c:pt>
                <c:pt idx="4">
                  <c:v>0.10391341855540742</c:v>
                </c:pt>
                <c:pt idx="5">
                  <c:v>0.25574464747862913</c:v>
                </c:pt>
                <c:pt idx="6">
                  <c:v>0.03</c:v>
                </c:pt>
                <c:pt idx="7">
                  <c:v>0.23796800250960709</c:v>
                </c:pt>
                <c:pt idx="8">
                  <c:v>2.7818340484328411E-2</c:v>
                </c:pt>
              </c:numCache>
            </c:numRef>
          </c:val>
          <c:smooth val="0"/>
          <c:extLst>
            <c:ext xmlns:c16="http://schemas.microsoft.com/office/drawing/2014/chart" uri="{C3380CC4-5D6E-409C-BE32-E72D297353CC}">
              <c16:uniqueId val="{00000000-B7EF-4152-B3C5-40F5EA93CB48}"/>
            </c:ext>
          </c:extLst>
        </c:ser>
        <c:dLbls>
          <c:showLegendKey val="0"/>
          <c:showVal val="0"/>
          <c:showCatName val="0"/>
          <c:showSerName val="0"/>
          <c:showPercent val="0"/>
          <c:showBubbleSize val="0"/>
        </c:dLbls>
        <c:marker val="1"/>
        <c:smooth val="0"/>
        <c:axId val="2099114623"/>
        <c:axId val="2099105887"/>
      </c:lineChart>
      <c:catAx>
        <c:axId val="209911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2099105887"/>
        <c:crosses val="autoZero"/>
        <c:auto val="1"/>
        <c:lblAlgn val="ctr"/>
        <c:lblOffset val="100"/>
        <c:noMultiLvlLbl val="0"/>
      </c:catAx>
      <c:valAx>
        <c:axId val="209910588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2099114623"/>
        <c:crosses val="autoZero"/>
        <c:crossBetween val="between"/>
      </c:valAx>
      <c:valAx>
        <c:axId val="2099124191"/>
        <c:scaling>
          <c:orientation val="minMax"/>
        </c:scaling>
        <c:delete val="0"/>
        <c:axPos val="r"/>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2099124607"/>
        <c:crosses val="max"/>
        <c:crossBetween val="between"/>
      </c:valAx>
      <c:catAx>
        <c:axId val="2099124607"/>
        <c:scaling>
          <c:orientation val="minMax"/>
        </c:scaling>
        <c:delete val="1"/>
        <c:axPos val="b"/>
        <c:numFmt formatCode="General" sourceLinked="1"/>
        <c:majorTickMark val="none"/>
        <c:minorTickMark val="none"/>
        <c:tickLblPos val="nextTo"/>
        <c:crossAx val="2099124191"/>
        <c:crosses val="autoZero"/>
        <c:auto val="1"/>
        <c:lblAlgn val="ctr"/>
        <c:lblOffset val="100"/>
        <c:noMultiLvlLbl val="0"/>
      </c:catAx>
      <c:spPr>
        <a:noFill/>
        <a:ln>
          <a:noFill/>
        </a:ln>
        <a:effectLst/>
      </c:spPr>
    </c:plotArea>
    <c:legend>
      <c:legendPos val="b"/>
      <c:layout>
        <c:manualLayout>
          <c:xMode val="edge"/>
          <c:yMode val="edge"/>
          <c:x val="0.11758095238095238"/>
          <c:y val="9.7067777777777781E-2"/>
          <c:w val="0.79911462948740675"/>
          <c:h val="8.4487777777777773E-2"/>
        </c:manualLayout>
      </c:layout>
      <c:overlay val="0"/>
      <c:spPr>
        <a:noFill/>
        <a:ln>
          <a:noFill/>
        </a:ln>
        <a:effectLst/>
      </c:spPr>
      <c:txPr>
        <a:bodyPr rot="0" spcFirstLastPara="1" vertOverflow="ellipsis" vert="horz" wrap="square" anchor="ctr" anchorCtr="1"/>
        <a:lstStyle/>
        <a:p>
          <a:pPr>
            <a:defRPr sz="5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50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600" b="1" i="0" u="none" strike="noStrike" kern="1200" spc="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r>
              <a:rPr lang="vi-VN" b="1"/>
              <a:t>NĂM</a:t>
            </a:r>
            <a:r>
              <a:rPr lang="vi-VN" b="1" baseline="0"/>
              <a:t> 2020</a:t>
            </a:r>
            <a:endParaRPr lang="en-US" b="1"/>
          </a:p>
        </c:rich>
      </c:tx>
      <c:overlay val="0"/>
      <c:spPr>
        <a:noFill/>
        <a:ln>
          <a:noFill/>
        </a:ln>
        <a:effectLst/>
      </c:spPr>
      <c:txPr>
        <a:bodyPr rot="0" spcFirstLastPara="1" vertOverflow="ellipsis" vert="horz" wrap="square" anchor="ctr" anchorCtr="1"/>
        <a:lstStyle/>
        <a:p>
          <a:pPr>
            <a:defRPr sz="600" b="1" i="0" u="none" strike="noStrike" kern="1200" spc="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manualLayout>
          <c:layoutTarget val="inner"/>
          <c:xMode val="edge"/>
          <c:yMode val="edge"/>
          <c:x val="0.12361904761904761"/>
          <c:y val="0.22027277777777782"/>
          <c:w val="0.7077821428571428"/>
          <c:h val="0.52121944444444446"/>
        </c:manualLayout>
      </c:layout>
      <c:barChart>
        <c:barDir val="col"/>
        <c:grouping val="clustered"/>
        <c:varyColors val="0"/>
        <c:ser>
          <c:idx val="1"/>
          <c:order val="1"/>
          <c:tx>
            <c:strRef>
              <c:f>'BÁO CÁO'!$A$43:$D$43</c:f>
              <c:strCache>
                <c:ptCount val="1"/>
                <c:pt idx="0">
                  <c:v>CHI PHÍ</c:v>
                </c:pt>
              </c:strCache>
            </c:strRef>
          </c:tx>
          <c:spPr>
            <a:solidFill>
              <a:schemeClr val="accent2"/>
            </a:solidFill>
            <a:ln>
              <a:noFill/>
            </a:ln>
            <a:effectLst/>
          </c:spPr>
          <c:invertIfNegative val="0"/>
          <c:cat>
            <c:strRef>
              <c:f>'BÁO CÁO'!$A$58:$A$66</c:f>
              <c:strCache>
                <c:ptCount val="9"/>
                <c:pt idx="0">
                  <c:v>Chi VP</c:v>
                </c:pt>
                <c:pt idx="1">
                  <c:v>Chi nhân viên</c:v>
                </c:pt>
                <c:pt idx="2">
                  <c:v>Chi Marketing</c:v>
                </c:pt>
                <c:pt idx="3">
                  <c:v>Chi khác</c:v>
                </c:pt>
                <c:pt idx="4">
                  <c:v>Chi khấu hao</c:v>
                </c:pt>
                <c:pt idx="5">
                  <c:v>Giá vốn hàng bán</c:v>
                </c:pt>
                <c:pt idx="6">
                  <c:v>Lương KD</c:v>
                </c:pt>
                <c:pt idx="7">
                  <c:v>Chiết khấu đại lý</c:v>
                </c:pt>
                <c:pt idx="8">
                  <c:v>Chi phí bán hàng</c:v>
                </c:pt>
              </c:strCache>
            </c:strRef>
          </c:cat>
          <c:val>
            <c:numRef>
              <c:f>'BÁO CÁO'!$C$45:$C$53</c:f>
              <c:numCache>
                <c:formatCode>_(* #,##0_);_(* \(#,##0\);_(* "-"??_);_(@_)</c:formatCode>
                <c:ptCount val="9"/>
                <c:pt idx="0">
                  <c:v>900000</c:v>
                </c:pt>
                <c:pt idx="1">
                  <c:v>1071084</c:v>
                </c:pt>
                <c:pt idx="2">
                  <c:v>1334370</c:v>
                </c:pt>
                <c:pt idx="3">
                  <c:v>133437</c:v>
                </c:pt>
                <c:pt idx="4">
                  <c:v>1125000</c:v>
                </c:pt>
                <c:pt idx="5">
                  <c:v>2268000</c:v>
                </c:pt>
                <c:pt idx="6">
                  <c:v>266874</c:v>
                </c:pt>
                <c:pt idx="7">
                  <c:v>2109228</c:v>
                </c:pt>
                <c:pt idx="8">
                  <c:v>266874</c:v>
                </c:pt>
              </c:numCache>
            </c:numRef>
          </c:val>
          <c:extLst>
            <c:ext xmlns:c16="http://schemas.microsoft.com/office/drawing/2014/chart" uri="{C3380CC4-5D6E-409C-BE32-E72D297353CC}">
              <c16:uniqueId val="{00000001-36A9-49C4-A2F4-A85F2CF0A0AA}"/>
            </c:ext>
          </c:extLst>
        </c:ser>
        <c:dLbls>
          <c:showLegendKey val="0"/>
          <c:showVal val="0"/>
          <c:showCatName val="0"/>
          <c:showSerName val="0"/>
          <c:showPercent val="0"/>
          <c:showBubbleSize val="0"/>
        </c:dLbls>
        <c:gapWidth val="150"/>
        <c:axId val="2099141247"/>
        <c:axId val="2099132927"/>
      </c:barChart>
      <c:lineChart>
        <c:grouping val="standard"/>
        <c:varyColors val="0"/>
        <c:ser>
          <c:idx val="0"/>
          <c:order val="0"/>
          <c:tx>
            <c:strRef>
              <c:f>'BÁO CÁO'!$A$56:$D$56</c:f>
              <c:strCache>
                <c:ptCount val="1"/>
                <c:pt idx="0">
                  <c:v>CHI PHÍ % TRÊN DOANH THU</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5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'BÁO CÁO'!$A$58:$A$66</c:f>
              <c:strCache>
                <c:ptCount val="9"/>
                <c:pt idx="0">
                  <c:v>Chi VP</c:v>
                </c:pt>
                <c:pt idx="1">
                  <c:v>Chi nhân viên</c:v>
                </c:pt>
                <c:pt idx="2">
                  <c:v>Chi Marketing</c:v>
                </c:pt>
                <c:pt idx="3">
                  <c:v>Chi khác</c:v>
                </c:pt>
                <c:pt idx="4">
                  <c:v>Chi khấu hao</c:v>
                </c:pt>
                <c:pt idx="5">
                  <c:v>Giá vốn hàng bán</c:v>
                </c:pt>
                <c:pt idx="6">
                  <c:v>Lương KD</c:v>
                </c:pt>
                <c:pt idx="7">
                  <c:v>Chiết khấu đại lý</c:v>
                </c:pt>
                <c:pt idx="8">
                  <c:v>Chi phí bán hàng</c:v>
                </c:pt>
              </c:strCache>
            </c:strRef>
          </c:cat>
          <c:val>
            <c:numRef>
              <c:f>'BÁO CÁO'!$C$58:$C$66</c:f>
              <c:numCache>
                <c:formatCode>0%</c:formatCode>
                <c:ptCount val="9"/>
                <c:pt idx="0">
                  <c:v>0.10117133928370692</c:v>
                </c:pt>
                <c:pt idx="1">
                  <c:v>0.12040333640594438</c:v>
                </c:pt>
                <c:pt idx="2">
                  <c:v>0.15</c:v>
                </c:pt>
                <c:pt idx="3">
                  <c:v>1.4999999999999999E-2</c:v>
                </c:pt>
                <c:pt idx="4">
                  <c:v>0.12646417410463365</c:v>
                </c:pt>
                <c:pt idx="5">
                  <c:v>0.25495177499494143</c:v>
                </c:pt>
                <c:pt idx="6">
                  <c:v>0.03</c:v>
                </c:pt>
                <c:pt idx="7">
                  <c:v>0.23710380179410509</c:v>
                </c:pt>
                <c:pt idx="8">
                  <c:v>0.03</c:v>
                </c:pt>
              </c:numCache>
            </c:numRef>
          </c:val>
          <c:smooth val="0"/>
          <c:extLst>
            <c:ext xmlns:c16="http://schemas.microsoft.com/office/drawing/2014/chart" uri="{C3380CC4-5D6E-409C-BE32-E72D297353CC}">
              <c16:uniqueId val="{00000000-36A9-49C4-A2F4-A85F2CF0A0AA}"/>
            </c:ext>
          </c:extLst>
        </c:ser>
        <c:dLbls>
          <c:showLegendKey val="0"/>
          <c:showVal val="0"/>
          <c:showCatName val="0"/>
          <c:showSerName val="0"/>
          <c:showPercent val="0"/>
          <c:showBubbleSize val="0"/>
        </c:dLbls>
        <c:marker val="1"/>
        <c:smooth val="0"/>
        <c:axId val="2099093823"/>
        <c:axId val="2099080927"/>
      </c:lineChart>
      <c:catAx>
        <c:axId val="20990938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2099080927"/>
        <c:crosses val="autoZero"/>
        <c:auto val="1"/>
        <c:lblAlgn val="ctr"/>
        <c:lblOffset val="100"/>
        <c:noMultiLvlLbl val="0"/>
      </c:catAx>
      <c:valAx>
        <c:axId val="209908092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2099093823"/>
        <c:crosses val="autoZero"/>
        <c:crossBetween val="between"/>
      </c:valAx>
      <c:valAx>
        <c:axId val="2099132927"/>
        <c:scaling>
          <c:orientation val="minMax"/>
        </c:scaling>
        <c:delete val="0"/>
        <c:axPos val="r"/>
        <c:numFmt formatCode="_(* #,##0_);_(* \(#,##0\);_(* &quot;-&quot;??_);_(@_)" sourceLinked="1"/>
        <c:majorTickMark val="out"/>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2099141247"/>
        <c:crosses val="max"/>
        <c:crossBetween val="between"/>
      </c:valAx>
      <c:catAx>
        <c:axId val="2099141247"/>
        <c:scaling>
          <c:orientation val="minMax"/>
        </c:scaling>
        <c:delete val="1"/>
        <c:axPos val="b"/>
        <c:numFmt formatCode="General" sourceLinked="1"/>
        <c:majorTickMark val="out"/>
        <c:minorTickMark val="none"/>
        <c:tickLblPos val="nextTo"/>
        <c:crossAx val="2099132927"/>
        <c:crosses val="autoZero"/>
        <c:auto val="1"/>
        <c:lblAlgn val="ctr"/>
        <c:lblOffset val="100"/>
        <c:noMultiLvlLbl val="0"/>
      </c:catAx>
      <c:spPr>
        <a:noFill/>
        <a:ln>
          <a:noFill/>
        </a:ln>
        <a:effectLst/>
      </c:spPr>
    </c:plotArea>
    <c:legend>
      <c:legendPos val="b"/>
      <c:layout>
        <c:manualLayout>
          <c:xMode val="edge"/>
          <c:yMode val="edge"/>
          <c:x val="0.10246190476190477"/>
          <c:y val="9.7067777777777794E-2"/>
          <c:w val="0.81128851036606098"/>
          <c:h val="8.4487777777777773E-2"/>
        </c:manualLayout>
      </c:layout>
      <c:overlay val="0"/>
      <c:spPr>
        <a:noFill/>
        <a:ln>
          <a:noFill/>
        </a:ln>
        <a:effectLst/>
      </c:spPr>
      <c:txPr>
        <a:bodyPr rot="0" spcFirstLastPara="1" vertOverflow="ellipsis" vert="horz" wrap="square" anchor="ctr" anchorCtr="1"/>
        <a:lstStyle/>
        <a:p>
          <a:pPr>
            <a:defRPr sz="5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50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600" b="1" i="0" u="none" strike="noStrike" kern="1200" spc="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r>
              <a:rPr lang="vi-VN" b="1"/>
              <a:t>NĂM</a:t>
            </a:r>
            <a:r>
              <a:rPr lang="vi-VN" b="1" baseline="0"/>
              <a:t> 2021</a:t>
            </a:r>
            <a:endParaRPr lang="en-US" b="1"/>
          </a:p>
        </c:rich>
      </c:tx>
      <c:overlay val="0"/>
      <c:spPr>
        <a:noFill/>
        <a:ln>
          <a:noFill/>
        </a:ln>
        <a:effectLst/>
      </c:spPr>
      <c:txPr>
        <a:bodyPr rot="0" spcFirstLastPara="1" vertOverflow="ellipsis" vert="horz" wrap="square" anchor="ctr" anchorCtr="1"/>
        <a:lstStyle/>
        <a:p>
          <a:pPr>
            <a:defRPr sz="600" b="1" i="0" u="none" strike="noStrike" kern="1200" spc="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manualLayout>
          <c:layoutTarget val="inner"/>
          <c:xMode val="edge"/>
          <c:yMode val="edge"/>
          <c:x val="0.11857936507936508"/>
          <c:y val="0.21321722222222222"/>
          <c:w val="0.7077821428571428"/>
          <c:h val="0.52827500000000005"/>
        </c:manualLayout>
      </c:layout>
      <c:barChart>
        <c:barDir val="col"/>
        <c:grouping val="clustered"/>
        <c:varyColors val="0"/>
        <c:ser>
          <c:idx val="1"/>
          <c:order val="1"/>
          <c:tx>
            <c:strRef>
              <c:f>'BÁO CÁO'!$A$43:$D$43</c:f>
              <c:strCache>
                <c:ptCount val="1"/>
                <c:pt idx="0">
                  <c:v>CHI PHÍ</c:v>
                </c:pt>
              </c:strCache>
            </c:strRef>
          </c:tx>
          <c:spPr>
            <a:solidFill>
              <a:schemeClr val="accent2"/>
            </a:solidFill>
            <a:ln>
              <a:noFill/>
            </a:ln>
            <a:effectLst/>
          </c:spPr>
          <c:invertIfNegative val="0"/>
          <c:cat>
            <c:strRef>
              <c:f>'BÁO CÁO'!$A$58:$A$66</c:f>
              <c:strCache>
                <c:ptCount val="9"/>
                <c:pt idx="0">
                  <c:v>Chi VP</c:v>
                </c:pt>
                <c:pt idx="1">
                  <c:v>Chi nhân viên</c:v>
                </c:pt>
                <c:pt idx="2">
                  <c:v>Chi Marketing</c:v>
                </c:pt>
                <c:pt idx="3">
                  <c:v>Chi khác</c:v>
                </c:pt>
                <c:pt idx="4">
                  <c:v>Chi khấu hao</c:v>
                </c:pt>
                <c:pt idx="5">
                  <c:v>Giá vốn hàng bán</c:v>
                </c:pt>
                <c:pt idx="6">
                  <c:v>Lương KD</c:v>
                </c:pt>
                <c:pt idx="7">
                  <c:v>Chiết khấu đại lý</c:v>
                </c:pt>
                <c:pt idx="8">
                  <c:v>Chi phí bán hàng</c:v>
                </c:pt>
              </c:strCache>
            </c:strRef>
          </c:cat>
          <c:val>
            <c:numRef>
              <c:f>'BÁO CÁO'!$D$45:$D$53</c:f>
              <c:numCache>
                <c:formatCode>_(* #,##0_);_(* \(#,##0\);_(* "-"??_);_(@_)</c:formatCode>
                <c:ptCount val="9"/>
                <c:pt idx="0">
                  <c:v>1080000</c:v>
                </c:pt>
                <c:pt idx="1">
                  <c:v>1285300.8</c:v>
                </c:pt>
                <c:pt idx="2">
                  <c:v>2403915</c:v>
                </c:pt>
                <c:pt idx="3">
                  <c:v>240391.5</c:v>
                </c:pt>
                <c:pt idx="4">
                  <c:v>1550000</c:v>
                </c:pt>
                <c:pt idx="5">
                  <c:v>4441200</c:v>
                </c:pt>
                <c:pt idx="6">
                  <c:v>480783</c:v>
                </c:pt>
                <c:pt idx="7">
                  <c:v>3773150</c:v>
                </c:pt>
                <c:pt idx="8">
                  <c:v>480783</c:v>
                </c:pt>
              </c:numCache>
            </c:numRef>
          </c:val>
          <c:extLst>
            <c:ext xmlns:c16="http://schemas.microsoft.com/office/drawing/2014/chart" uri="{C3380CC4-5D6E-409C-BE32-E72D297353CC}">
              <c16:uniqueId val="{00000001-103D-423B-9BC2-A97F86D842DF}"/>
            </c:ext>
          </c:extLst>
        </c:ser>
        <c:dLbls>
          <c:showLegendKey val="0"/>
          <c:showVal val="0"/>
          <c:showCatName val="0"/>
          <c:showSerName val="0"/>
          <c:showPercent val="0"/>
          <c:showBubbleSize val="0"/>
        </c:dLbls>
        <c:gapWidth val="150"/>
        <c:axId val="2099139167"/>
        <c:axId val="2099132511"/>
      </c:barChart>
      <c:lineChart>
        <c:grouping val="standard"/>
        <c:varyColors val="0"/>
        <c:ser>
          <c:idx val="0"/>
          <c:order val="0"/>
          <c:tx>
            <c:strRef>
              <c:f>'BÁO CÁO'!$A$56:$D$56</c:f>
              <c:strCache>
                <c:ptCount val="1"/>
                <c:pt idx="0">
                  <c:v>CHI PHÍ % TRÊN DOANH THU</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5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'BÁO CÁO'!$A$58:$A$66</c:f>
              <c:strCache>
                <c:ptCount val="9"/>
                <c:pt idx="0">
                  <c:v>Chi VP</c:v>
                </c:pt>
                <c:pt idx="1">
                  <c:v>Chi nhân viên</c:v>
                </c:pt>
                <c:pt idx="2">
                  <c:v>Chi Marketing</c:v>
                </c:pt>
                <c:pt idx="3">
                  <c:v>Chi khác</c:v>
                </c:pt>
                <c:pt idx="4">
                  <c:v>Chi khấu hao</c:v>
                </c:pt>
                <c:pt idx="5">
                  <c:v>Giá vốn hàng bán</c:v>
                </c:pt>
                <c:pt idx="6">
                  <c:v>Lương KD</c:v>
                </c:pt>
                <c:pt idx="7">
                  <c:v>Chiết khấu đại lý</c:v>
                </c:pt>
                <c:pt idx="8">
                  <c:v>Chi phí bán hàng</c:v>
                </c:pt>
              </c:strCache>
            </c:strRef>
          </c:cat>
          <c:val>
            <c:numRef>
              <c:f>'BÁO CÁO'!$D$58:$D$66</c:f>
              <c:numCache>
                <c:formatCode>0%</c:formatCode>
                <c:ptCount val="9"/>
                <c:pt idx="0">
                  <c:v>6.7390069948396678E-2</c:v>
                </c:pt>
                <c:pt idx="1">
                  <c:v>8.0200472978453896E-2</c:v>
                </c:pt>
                <c:pt idx="2">
                  <c:v>0.15</c:v>
                </c:pt>
                <c:pt idx="3">
                  <c:v>1.4999999999999999E-2</c:v>
                </c:pt>
                <c:pt idx="4">
                  <c:v>9.6717230018532274E-2</c:v>
                </c:pt>
                <c:pt idx="5">
                  <c:v>0.27712294319890679</c:v>
                </c:pt>
                <c:pt idx="6">
                  <c:v>0.03</c:v>
                </c:pt>
                <c:pt idx="7">
                  <c:v>0.23543781706091937</c:v>
                </c:pt>
                <c:pt idx="8">
                  <c:v>0.03</c:v>
                </c:pt>
              </c:numCache>
            </c:numRef>
          </c:val>
          <c:smooth val="0"/>
          <c:extLst>
            <c:ext xmlns:c16="http://schemas.microsoft.com/office/drawing/2014/chart" uri="{C3380CC4-5D6E-409C-BE32-E72D297353CC}">
              <c16:uniqueId val="{00000000-103D-423B-9BC2-A97F86D842DF}"/>
            </c:ext>
          </c:extLst>
        </c:ser>
        <c:dLbls>
          <c:showLegendKey val="0"/>
          <c:showVal val="0"/>
          <c:showCatName val="0"/>
          <c:showSerName val="0"/>
          <c:showPercent val="0"/>
          <c:showBubbleSize val="0"/>
        </c:dLbls>
        <c:marker val="1"/>
        <c:smooth val="0"/>
        <c:axId val="2099108799"/>
        <c:axId val="2099126687"/>
      </c:lineChart>
      <c:valAx>
        <c:axId val="2099132511"/>
        <c:scaling>
          <c:orientation val="minMax"/>
        </c:scaling>
        <c:delete val="0"/>
        <c:axPos val="r"/>
        <c:numFmt formatCode="_(* #,##0_);_(* \(#,##0\);_(* &quot;-&quot;??_);_(@_)" sourceLinked="1"/>
        <c:majorTickMark val="out"/>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2099139167"/>
        <c:crosses val="max"/>
        <c:crossBetween val="between"/>
      </c:valAx>
      <c:catAx>
        <c:axId val="2099139167"/>
        <c:scaling>
          <c:orientation val="minMax"/>
        </c:scaling>
        <c:delete val="1"/>
        <c:axPos val="b"/>
        <c:numFmt formatCode="General" sourceLinked="1"/>
        <c:majorTickMark val="out"/>
        <c:minorTickMark val="none"/>
        <c:tickLblPos val="nextTo"/>
        <c:crossAx val="2099132511"/>
        <c:crosses val="autoZero"/>
        <c:auto val="1"/>
        <c:lblAlgn val="ctr"/>
        <c:lblOffset val="100"/>
        <c:noMultiLvlLbl val="0"/>
      </c:catAx>
      <c:valAx>
        <c:axId val="2099126687"/>
        <c:scaling>
          <c:orientation val="minMax"/>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2099108799"/>
        <c:crosses val="autoZero"/>
        <c:crossBetween val="between"/>
      </c:valAx>
      <c:catAx>
        <c:axId val="2099108799"/>
        <c:scaling>
          <c:orientation val="minMax"/>
        </c:scaling>
        <c:delete val="1"/>
        <c:axPos val="b"/>
        <c:numFmt formatCode="General" sourceLinked="1"/>
        <c:majorTickMark val="out"/>
        <c:minorTickMark val="none"/>
        <c:tickLblPos val="nextTo"/>
        <c:crossAx val="2099126687"/>
        <c:crosses val="autoZero"/>
        <c:auto val="1"/>
        <c:lblAlgn val="ctr"/>
        <c:lblOffset val="100"/>
        <c:noMultiLvlLbl val="0"/>
      </c:catAx>
      <c:spPr>
        <a:noFill/>
        <a:ln>
          <a:noFill/>
        </a:ln>
        <a:effectLst/>
      </c:spPr>
    </c:plotArea>
    <c:legend>
      <c:legendPos val="b"/>
      <c:layout>
        <c:manualLayout>
          <c:xMode val="edge"/>
          <c:yMode val="edge"/>
          <c:x val="0.10246190476190477"/>
          <c:y val="0.10412333333333335"/>
          <c:w val="0.80515555555555562"/>
          <c:h val="8.4487777777777773E-2"/>
        </c:manualLayout>
      </c:layout>
      <c:overlay val="0"/>
      <c:spPr>
        <a:noFill/>
        <a:ln>
          <a:noFill/>
        </a:ln>
        <a:effectLst/>
      </c:spPr>
      <c:txPr>
        <a:bodyPr rot="0" spcFirstLastPara="1" vertOverflow="ellipsis" vert="horz" wrap="square" anchor="ctr" anchorCtr="1"/>
        <a:lstStyle/>
        <a:p>
          <a:pPr>
            <a:defRPr sz="5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50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r>
              <a:rPr lang="vi-VN"/>
              <a:t>NĂM</a:t>
            </a:r>
            <a:r>
              <a:rPr lang="vi-VN" baseline="0"/>
              <a:t> 2021</a:t>
            </a:r>
            <a:endParaRPr lang="en-US"/>
          </a:p>
        </c:rich>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2836-AB4B-9BF1-1D32B7635378}"/>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2836-AB4B-9BF1-1D32B7635378}"/>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2836-AB4B-9BF1-1D32B7635378}"/>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2836-AB4B-9BF1-1D32B7635378}"/>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2836-AB4B-9BF1-1D32B7635378}"/>
              </c:ext>
            </c:extLst>
          </c:dPt>
          <c:dLbls>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1000" b="1"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'BÁO CÁO'!$A$18:$A$22</c:f>
              <c:strCache>
                <c:ptCount val="5"/>
                <c:pt idx="0">
                  <c:v>SẢN PHẨM 1</c:v>
                </c:pt>
                <c:pt idx="1">
                  <c:v>SẢN PHẨM 2</c:v>
                </c:pt>
                <c:pt idx="2">
                  <c:v>SẢN PHẨM 3</c:v>
                </c:pt>
                <c:pt idx="3">
                  <c:v>SẢN PHẨM 4</c:v>
                </c:pt>
                <c:pt idx="4">
                  <c:v>SẢN PHẨM 5</c:v>
                </c:pt>
              </c:strCache>
            </c:strRef>
          </c:cat>
          <c:val>
            <c:numRef>
              <c:f>'BÁO CÁO'!$D$18:$D$22</c:f>
              <c:numCache>
                <c:formatCode>#,##0</c:formatCode>
                <c:ptCount val="5"/>
                <c:pt idx="0">
                  <c:v>1012500</c:v>
                </c:pt>
                <c:pt idx="1">
                  <c:v>2738400</c:v>
                </c:pt>
                <c:pt idx="2">
                  <c:v>4636800</c:v>
                </c:pt>
                <c:pt idx="3">
                  <c:v>4670400</c:v>
                </c:pt>
                <c:pt idx="4">
                  <c:v>2968000</c:v>
                </c:pt>
              </c:numCache>
            </c:numRef>
          </c:val>
          <c:extLst>
            <c:ext xmlns:c16="http://schemas.microsoft.com/office/drawing/2014/chart" uri="{C3380CC4-5D6E-409C-BE32-E72D297353CC}">
              <c16:uniqueId val="{00000000-7053-498A-BD24-2A282D29B0D5}"/>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100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r>
              <a:rPr lang="vi-VN" b="1"/>
              <a:t>Biểu đồ thể hiện chi phí qua các năm</a:t>
            </a:r>
            <a:endParaRPr lang="en-US" b="1"/>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manualLayout>
          <c:layoutTarget val="inner"/>
          <c:xMode val="edge"/>
          <c:yMode val="edge"/>
          <c:x val="0.25699916666666672"/>
          <c:y val="0.23578541666666666"/>
          <c:w val="0.59830888888888889"/>
          <c:h val="0.67496180555555552"/>
        </c:manualLayout>
      </c:layout>
      <c:barChart>
        <c:barDir val="col"/>
        <c:grouping val="clustered"/>
        <c:varyColors val="0"/>
        <c:ser>
          <c:idx val="0"/>
          <c:order val="0"/>
          <c:tx>
            <c:strRef>
              <c:f>'BÁO CÁO'!$A$54</c:f>
              <c:strCache>
                <c:ptCount val="1"/>
                <c:pt idx="0">
                  <c:v>Tổng chi phí</c:v>
                </c:pt>
              </c:strCache>
            </c:strRef>
          </c:tx>
          <c:spPr>
            <a:solidFill>
              <a:schemeClr val="accent1"/>
            </a:solidFill>
            <a:ln>
              <a:noFill/>
            </a:ln>
            <a:effectLst/>
          </c:spPr>
          <c:invertIfNegative val="0"/>
          <c:cat>
            <c:numRef>
              <c:f>'BÁO CÁO'!$B$57:$D$57</c:f>
              <c:numCache>
                <c:formatCode>General</c:formatCode>
                <c:ptCount val="3"/>
                <c:pt idx="0">
                  <c:v>2019</c:v>
                </c:pt>
                <c:pt idx="1">
                  <c:v>2020</c:v>
                </c:pt>
                <c:pt idx="2">
                  <c:v>2021</c:v>
                </c:pt>
              </c:numCache>
            </c:numRef>
          </c:cat>
          <c:val>
            <c:numRef>
              <c:f>'BÁO CÁO'!$B$54:$D$54</c:f>
              <c:numCache>
                <c:formatCode>_(* #,##0_);_(* \(#,##0\);_(* "-"??_);_(@_)</c:formatCode>
                <c:ptCount val="3"/>
                <c:pt idx="0">
                  <c:v>7135425</c:v>
                </c:pt>
                <c:pt idx="1">
                  <c:v>9474867</c:v>
                </c:pt>
                <c:pt idx="2">
                  <c:v>15735523.300000001</c:v>
                </c:pt>
              </c:numCache>
            </c:numRef>
          </c:val>
          <c:extLst>
            <c:ext xmlns:c16="http://schemas.microsoft.com/office/drawing/2014/chart" uri="{C3380CC4-5D6E-409C-BE32-E72D297353CC}">
              <c16:uniqueId val="{00000000-5A97-41F2-93A2-A7092B7B6E68}"/>
            </c:ext>
          </c:extLst>
        </c:ser>
        <c:dLbls>
          <c:showLegendKey val="0"/>
          <c:showVal val="0"/>
          <c:showCatName val="0"/>
          <c:showSerName val="0"/>
          <c:showPercent val="0"/>
          <c:showBubbleSize val="0"/>
        </c:dLbls>
        <c:gapWidth val="150"/>
        <c:axId val="140468527"/>
        <c:axId val="140463119"/>
      </c:barChart>
      <c:lineChart>
        <c:grouping val="standard"/>
        <c:varyColors val="0"/>
        <c:ser>
          <c:idx val="1"/>
          <c:order val="1"/>
          <c:tx>
            <c:strRef>
              <c:f>'BÁO CÁO'!$A$67</c:f>
              <c:strCache>
                <c:ptCount val="1"/>
                <c:pt idx="0">
                  <c:v>Tỉ lệ CP/DT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'BÁO CÁO'!$B$57:$D$57</c:f>
              <c:numCache>
                <c:formatCode>General</c:formatCode>
                <c:ptCount val="3"/>
                <c:pt idx="0">
                  <c:v>2019</c:v>
                </c:pt>
                <c:pt idx="1">
                  <c:v>2020</c:v>
                </c:pt>
                <c:pt idx="2">
                  <c:v>2021</c:v>
                </c:pt>
              </c:numCache>
            </c:numRef>
          </c:cat>
          <c:val>
            <c:numRef>
              <c:f>'BÁO CÁO'!$B$67:$D$67</c:f>
              <c:numCache>
                <c:formatCode>0%</c:formatCode>
                <c:ptCount val="3"/>
                <c:pt idx="0">
                  <c:v>1.1170129134589972</c:v>
                </c:pt>
                <c:pt idx="1">
                  <c:v>1.0650944265833315</c:v>
                </c:pt>
                <c:pt idx="2">
                  <c:v>0.98186853320520917</c:v>
                </c:pt>
              </c:numCache>
            </c:numRef>
          </c:val>
          <c:smooth val="0"/>
          <c:extLst>
            <c:ext xmlns:c16="http://schemas.microsoft.com/office/drawing/2014/chart" uri="{C3380CC4-5D6E-409C-BE32-E72D297353CC}">
              <c16:uniqueId val="{00000001-5A97-41F2-93A2-A7092B7B6E68}"/>
            </c:ext>
          </c:extLst>
        </c:ser>
        <c:dLbls>
          <c:showLegendKey val="0"/>
          <c:showVal val="0"/>
          <c:showCatName val="0"/>
          <c:showSerName val="0"/>
          <c:showPercent val="0"/>
          <c:showBubbleSize val="0"/>
        </c:dLbls>
        <c:marker val="1"/>
        <c:smooth val="0"/>
        <c:axId val="2099129183"/>
        <c:axId val="2099127519"/>
      </c:lineChart>
      <c:catAx>
        <c:axId val="1404685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140463119"/>
        <c:crosses val="autoZero"/>
        <c:auto val="1"/>
        <c:lblAlgn val="ctr"/>
        <c:lblOffset val="100"/>
        <c:noMultiLvlLbl val="0"/>
      </c:catAx>
      <c:valAx>
        <c:axId val="140463119"/>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140468527"/>
        <c:crosses val="autoZero"/>
        <c:crossBetween val="between"/>
      </c:valAx>
      <c:valAx>
        <c:axId val="2099127519"/>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2099129183"/>
        <c:crosses val="max"/>
        <c:crossBetween val="between"/>
      </c:valAx>
      <c:catAx>
        <c:axId val="2099129183"/>
        <c:scaling>
          <c:orientation val="minMax"/>
        </c:scaling>
        <c:delete val="1"/>
        <c:axPos val="b"/>
        <c:numFmt formatCode="General" sourceLinked="1"/>
        <c:majorTickMark val="out"/>
        <c:minorTickMark val="none"/>
        <c:tickLblPos val="nextTo"/>
        <c:crossAx val="2099127519"/>
        <c:crosses val="autoZero"/>
        <c:auto val="1"/>
        <c:lblAlgn val="ctr"/>
        <c:lblOffset val="100"/>
        <c:noMultiLvlLbl val="0"/>
      </c:catAx>
      <c:spPr>
        <a:noFill/>
        <a:ln>
          <a:noFill/>
        </a:ln>
        <a:effectLst/>
      </c:spPr>
    </c:plotArea>
    <c:legend>
      <c:legendPos val="b"/>
      <c:layout>
        <c:manualLayout>
          <c:xMode val="edge"/>
          <c:yMode val="edge"/>
          <c:x val="0.15934361111111112"/>
          <c:y val="0.10063993055555559"/>
          <c:w val="0.64163744629115371"/>
          <c:h val="7.9151736111111107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r>
              <a:rPr lang="vi-VN" b="1"/>
              <a:t>Biểu đồ thể hiện doanh thu qua các năm</a:t>
            </a:r>
            <a:endParaRPr lang="en-US" b="1"/>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barChart>
        <c:barDir val="col"/>
        <c:grouping val="clustered"/>
        <c:varyColors val="0"/>
        <c:ser>
          <c:idx val="0"/>
          <c:order val="0"/>
          <c:tx>
            <c:strRef>
              <c:f>'BÁO CÁO'!$A$12:$D$12</c:f>
              <c:strCache>
                <c:ptCount val="4"/>
                <c:pt idx="0">
                  <c:v>DOANH THU</c:v>
                </c:pt>
              </c:strCache>
            </c:strRef>
          </c:tx>
          <c:spPr>
            <a:solidFill>
              <a:schemeClr val="accent1"/>
            </a:solidFill>
            <a:ln>
              <a:noFill/>
            </a:ln>
            <a:effectLst/>
          </c:spPr>
          <c:invertIfNegative val="0"/>
          <c:cat>
            <c:numRef>
              <c:f>'BÁO CÁO'!$B$13:$D$13</c:f>
              <c:numCache>
                <c:formatCode>General</c:formatCode>
                <c:ptCount val="3"/>
                <c:pt idx="0">
                  <c:v>2019</c:v>
                </c:pt>
                <c:pt idx="1">
                  <c:v>2020</c:v>
                </c:pt>
                <c:pt idx="2">
                  <c:v>2021</c:v>
                </c:pt>
              </c:numCache>
            </c:numRef>
          </c:cat>
          <c:val>
            <c:numRef>
              <c:f>'BÁO CÁO'!$B$14:$D$14</c:f>
              <c:numCache>
                <c:formatCode>#,##0</c:formatCode>
                <c:ptCount val="3"/>
                <c:pt idx="0">
                  <c:v>6375500</c:v>
                </c:pt>
                <c:pt idx="1">
                  <c:v>8895800</c:v>
                </c:pt>
                <c:pt idx="2">
                  <c:v>16026100</c:v>
                </c:pt>
              </c:numCache>
            </c:numRef>
          </c:val>
          <c:extLst>
            <c:ext xmlns:c16="http://schemas.microsoft.com/office/drawing/2014/chart" uri="{C3380CC4-5D6E-409C-BE32-E72D297353CC}">
              <c16:uniqueId val="{00000000-B35E-4F58-8A3C-FEEF9C5AD9A8}"/>
            </c:ext>
          </c:extLst>
        </c:ser>
        <c:dLbls>
          <c:showLegendKey val="0"/>
          <c:showVal val="0"/>
          <c:showCatName val="0"/>
          <c:showSerName val="0"/>
          <c:showPercent val="0"/>
          <c:showBubbleSize val="0"/>
        </c:dLbls>
        <c:gapWidth val="150"/>
        <c:axId val="140472271"/>
        <c:axId val="140478095"/>
      </c:barChart>
      <c:lineChart>
        <c:grouping val="standard"/>
        <c:varyColors val="0"/>
        <c:ser>
          <c:idx val="1"/>
          <c:order val="1"/>
          <c:tx>
            <c:strRef>
              <c:f>'BÁO CÁO'!$A$15</c:f>
              <c:strCache>
                <c:ptCount val="1"/>
                <c:pt idx="0">
                  <c:v>TỶ LỆ TĂNG TRƯỞNG</c:v>
                </c:pt>
              </c:strCache>
            </c:strRef>
          </c:tx>
          <c:spPr>
            <a:ln w="28575" cap="rnd">
              <a:solidFill>
                <a:schemeClr val="accent2"/>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2-B35E-4F58-8A3C-FEEF9C5AD9A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'BÁO CÁO'!$B$15:$D$15</c:f>
              <c:numCache>
                <c:formatCode>0%</c:formatCode>
                <c:ptCount val="3"/>
                <c:pt idx="0" formatCode="General">
                  <c:v>0</c:v>
                </c:pt>
                <c:pt idx="1">
                  <c:v>1.3953101717512353</c:v>
                </c:pt>
                <c:pt idx="2">
                  <c:v>1.8015355561051283</c:v>
                </c:pt>
              </c:numCache>
            </c:numRef>
          </c:val>
          <c:smooth val="0"/>
          <c:extLst>
            <c:ext xmlns:c16="http://schemas.microsoft.com/office/drawing/2014/chart" uri="{C3380CC4-5D6E-409C-BE32-E72D297353CC}">
              <c16:uniqueId val="{00000001-B35E-4F58-8A3C-FEEF9C5AD9A8}"/>
            </c:ext>
          </c:extLst>
        </c:ser>
        <c:dLbls>
          <c:showLegendKey val="0"/>
          <c:showVal val="0"/>
          <c:showCatName val="0"/>
          <c:showSerName val="0"/>
          <c:showPercent val="0"/>
          <c:showBubbleSize val="0"/>
        </c:dLbls>
        <c:marker val="1"/>
        <c:smooth val="0"/>
        <c:axId val="140461455"/>
        <c:axId val="140476431"/>
      </c:lineChart>
      <c:catAx>
        <c:axId val="1404722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140478095"/>
        <c:crosses val="autoZero"/>
        <c:auto val="1"/>
        <c:lblAlgn val="ctr"/>
        <c:lblOffset val="100"/>
        <c:noMultiLvlLbl val="0"/>
      </c:catAx>
      <c:valAx>
        <c:axId val="14047809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140472271"/>
        <c:crosses val="autoZero"/>
        <c:crossBetween val="between"/>
      </c:valAx>
      <c:valAx>
        <c:axId val="140476431"/>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140461455"/>
        <c:crosses val="max"/>
        <c:crossBetween val="between"/>
      </c:valAx>
      <c:catAx>
        <c:axId val="140461455"/>
        <c:scaling>
          <c:orientation val="minMax"/>
        </c:scaling>
        <c:delete val="1"/>
        <c:axPos val="b"/>
        <c:majorTickMark val="out"/>
        <c:minorTickMark val="none"/>
        <c:tickLblPos val="nextTo"/>
        <c:crossAx val="140476431"/>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447676</xdr:colOff>
      <xdr:row>28</xdr:row>
      <xdr:rowOff>0</xdr:rowOff>
    </xdr:from>
    <xdr:to>
      <xdr:col>9</xdr:col>
      <xdr:colOff>104776</xdr:colOff>
      <xdr:row>40</xdr:row>
      <xdr:rowOff>95250</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82551</xdr:colOff>
      <xdr:row>28</xdr:row>
      <xdr:rowOff>3175</xdr:rowOff>
    </xdr:from>
    <xdr:to>
      <xdr:col>14</xdr:col>
      <xdr:colOff>38101</xdr:colOff>
      <xdr:row>40</xdr:row>
      <xdr:rowOff>95250</xdr:rowOff>
    </xdr:to>
    <xdr:graphicFrame macro="">
      <xdr:nvGraphicFramePr>
        <xdr:cNvPr id="5" name="Chart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428625</xdr:colOff>
      <xdr:row>10</xdr:row>
      <xdr:rowOff>152400</xdr:rowOff>
    </xdr:from>
    <xdr:to>
      <xdr:col>18</xdr:col>
      <xdr:colOff>695325</xdr:colOff>
      <xdr:row>28</xdr:row>
      <xdr:rowOff>0</xdr:rowOff>
    </xdr:to>
    <xdr:graphicFrame macro="">
      <xdr:nvGraphicFramePr>
        <xdr:cNvPr id="6" name="Chart 5">
          <a:extLst>
            <a:ext uri="{FF2B5EF4-FFF2-40B4-BE49-F238E27FC236}">
              <a16:creationId xmlns:a16="http://schemas.microsoft.com/office/drawing/2014/main" id="{00000000-0008-0000-0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9526</xdr:colOff>
      <xdr:row>56</xdr:row>
      <xdr:rowOff>9525</xdr:rowOff>
    </xdr:from>
    <xdr:to>
      <xdr:col>7</xdr:col>
      <xdr:colOff>681676</xdr:colOff>
      <xdr:row>66</xdr:row>
      <xdr:rowOff>123600</xdr:rowOff>
    </xdr:to>
    <xdr:graphicFrame macro="">
      <xdr:nvGraphicFramePr>
        <xdr:cNvPr id="8" name="Chart 7">
          <a:extLst>
            <a:ext uri="{FF2B5EF4-FFF2-40B4-BE49-F238E27FC236}">
              <a16:creationId xmlns:a16="http://schemas.microsoft.com/office/drawing/2014/main" id="{00000000-0008-0000-06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695325</xdr:colOff>
      <xdr:row>56</xdr:row>
      <xdr:rowOff>9525</xdr:rowOff>
    </xdr:from>
    <xdr:to>
      <xdr:col>11</xdr:col>
      <xdr:colOff>357825</xdr:colOff>
      <xdr:row>66</xdr:row>
      <xdr:rowOff>123600</xdr:rowOff>
    </xdr:to>
    <xdr:graphicFrame macro="">
      <xdr:nvGraphicFramePr>
        <xdr:cNvPr id="10" name="Chart 9">
          <a:extLst>
            <a:ext uri="{FF2B5EF4-FFF2-40B4-BE49-F238E27FC236}">
              <a16:creationId xmlns:a16="http://schemas.microsoft.com/office/drawing/2014/main" id="{00000000-0008-0000-06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371474</xdr:colOff>
      <xdr:row>56</xdr:row>
      <xdr:rowOff>9524</xdr:rowOff>
    </xdr:from>
    <xdr:to>
      <xdr:col>14</xdr:col>
      <xdr:colOff>719774</xdr:colOff>
      <xdr:row>66</xdr:row>
      <xdr:rowOff>123599</xdr:rowOff>
    </xdr:to>
    <xdr:graphicFrame macro="">
      <xdr:nvGraphicFramePr>
        <xdr:cNvPr id="11" name="Chart 10">
          <a:extLst>
            <a:ext uri="{FF2B5EF4-FFF2-40B4-BE49-F238E27FC236}">
              <a16:creationId xmlns:a16="http://schemas.microsoft.com/office/drawing/2014/main" id="{00000000-0008-0000-06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38100</xdr:colOff>
      <xdr:row>28</xdr:row>
      <xdr:rowOff>0</xdr:rowOff>
    </xdr:from>
    <xdr:to>
      <xdr:col>18</xdr:col>
      <xdr:colOff>704850</xdr:colOff>
      <xdr:row>40</xdr:row>
      <xdr:rowOff>95250</xdr:rowOff>
    </xdr:to>
    <xdr:graphicFrame macro="">
      <xdr:nvGraphicFramePr>
        <xdr:cNvPr id="12" name="Chart 11">
          <a:extLst>
            <a:ext uri="{FF2B5EF4-FFF2-40B4-BE49-F238E27FC236}">
              <a16:creationId xmlns:a16="http://schemas.microsoft.com/office/drawing/2014/main" id="{00000000-0008-0000-06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9525</xdr:colOff>
      <xdr:row>42</xdr:row>
      <xdr:rowOff>0</xdr:rowOff>
    </xdr:from>
    <xdr:to>
      <xdr:col>9</xdr:col>
      <xdr:colOff>351975</xdr:colOff>
      <xdr:row>56</xdr:row>
      <xdr:rowOff>22500</xdr:rowOff>
    </xdr:to>
    <xdr:graphicFrame macro="">
      <xdr:nvGraphicFramePr>
        <xdr:cNvPr id="13" name="Chart 12">
          <a:extLst>
            <a:ext uri="{FF2B5EF4-FFF2-40B4-BE49-F238E27FC236}">
              <a16:creationId xmlns:a16="http://schemas.microsoft.com/office/drawing/2014/main" id="{00000000-0008-0000-06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447675</xdr:colOff>
      <xdr:row>11</xdr:row>
      <xdr:rowOff>0</xdr:rowOff>
    </xdr:from>
    <xdr:to>
      <xdr:col>10</xdr:col>
      <xdr:colOff>428625</xdr:colOff>
      <xdr:row>28</xdr:row>
      <xdr:rowOff>0</xdr:rowOff>
    </xdr:to>
    <xdr:graphicFrame macro="">
      <xdr:nvGraphicFramePr>
        <xdr:cNvPr id="14" name="Chart 13">
          <a:extLst>
            <a:ext uri="{FF2B5EF4-FFF2-40B4-BE49-F238E27FC236}">
              <a16:creationId xmlns:a16="http://schemas.microsoft.com/office/drawing/2014/main" id="{00000000-0008-0000-06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314325</xdr:colOff>
      <xdr:row>42</xdr:row>
      <xdr:rowOff>0</xdr:rowOff>
    </xdr:from>
    <xdr:to>
      <xdr:col>15</xdr:col>
      <xdr:colOff>2925</xdr:colOff>
      <xdr:row>56</xdr:row>
      <xdr:rowOff>22500</xdr:rowOff>
    </xdr:to>
    <xdr:graphicFrame macro="">
      <xdr:nvGraphicFramePr>
        <xdr:cNvPr id="15" name="Chart 14">
          <a:extLst>
            <a:ext uri="{FF2B5EF4-FFF2-40B4-BE49-F238E27FC236}">
              <a16:creationId xmlns:a16="http://schemas.microsoft.com/office/drawing/2014/main" id="{00000000-0008-0000-06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9525</xdr:colOff>
      <xdr:row>68</xdr:row>
      <xdr:rowOff>0</xdr:rowOff>
    </xdr:from>
    <xdr:to>
      <xdr:col>10</xdr:col>
      <xdr:colOff>600075</xdr:colOff>
      <xdr:row>84</xdr:row>
      <xdr:rowOff>152400</xdr:rowOff>
    </xdr:to>
    <xdr:graphicFrame macro="">
      <xdr:nvGraphicFramePr>
        <xdr:cNvPr id="16" name="Chart 15">
          <a:extLst>
            <a:ext uri="{FF2B5EF4-FFF2-40B4-BE49-F238E27FC236}">
              <a16:creationId xmlns:a16="http://schemas.microsoft.com/office/drawing/2014/main" id="{00000000-0008-0000-06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0.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N90"/>
  <sheetViews>
    <sheetView zoomScaleNormal="100" zoomScalePageLayoutView="75" workbookViewId="0">
      <selection activeCell="B18" sqref="B18"/>
    </sheetView>
  </sheetViews>
  <sheetFormatPr baseColWidth="10" defaultColWidth="8.6640625" defaultRowHeight="13"/>
  <cols>
    <col min="1" max="1" width="32.83203125" style="76" customWidth="1"/>
    <col min="2" max="6" width="21" style="2" customWidth="1"/>
    <col min="7" max="7" width="7.1640625" style="2" customWidth="1"/>
    <col min="8" max="11" width="9.1640625" style="2" customWidth="1"/>
    <col min="12" max="12" width="8.83203125" style="2" customWidth="1"/>
    <col min="13" max="13" width="9.1640625" style="2" customWidth="1"/>
    <col min="14" max="14" width="12.6640625" style="2" customWidth="1"/>
    <col min="15" max="16384" width="8.6640625" style="2"/>
  </cols>
  <sheetData>
    <row r="1" spans="1:14" ht="18" customHeight="1">
      <c r="A1" s="73" t="s">
        <v>78</v>
      </c>
      <c r="B1" s="671" t="s">
        <v>129</v>
      </c>
      <c r="C1" s="672"/>
      <c r="D1" s="672"/>
      <c r="E1" s="672"/>
      <c r="F1" s="673"/>
    </row>
    <row r="2" spans="1:14" ht="18" customHeight="1">
      <c r="A2" s="74" t="s">
        <v>1</v>
      </c>
      <c r="B2" s="674"/>
      <c r="C2" s="674"/>
      <c r="D2" s="674"/>
      <c r="E2" s="674"/>
      <c r="F2" s="674"/>
    </row>
    <row r="3" spans="1:14" ht="18" customHeight="1">
      <c r="A3" s="74" t="s">
        <v>0</v>
      </c>
      <c r="B3" s="674"/>
      <c r="C3" s="674"/>
      <c r="D3" s="674"/>
      <c r="E3" s="674"/>
      <c r="F3" s="674"/>
    </row>
    <row r="4" spans="1:14" s="3" customFormat="1" ht="18" customHeight="1">
      <c r="A4" s="74" t="s">
        <v>2</v>
      </c>
      <c r="B4" s="674"/>
      <c r="C4" s="674"/>
      <c r="D4" s="674"/>
      <c r="E4" s="674"/>
      <c r="F4" s="674"/>
    </row>
    <row r="5" spans="1:14" ht="18" customHeight="1">
      <c r="A5" s="74" t="s">
        <v>3</v>
      </c>
      <c r="B5" s="675"/>
      <c r="C5" s="668"/>
      <c r="D5" s="668"/>
      <c r="E5" s="668"/>
      <c r="F5" s="668"/>
      <c r="G5" s="1"/>
      <c r="H5" s="4"/>
      <c r="I5" s="4"/>
      <c r="J5" s="4"/>
      <c r="K5" s="4"/>
      <c r="L5" s="4"/>
      <c r="M5" s="4"/>
    </row>
    <row r="6" spans="1:14" ht="18" customHeight="1">
      <c r="A6" s="75" t="s">
        <v>42</v>
      </c>
      <c r="B6" s="667">
        <v>43471</v>
      </c>
      <c r="C6" s="668"/>
      <c r="D6" s="668"/>
      <c r="E6" s="668"/>
      <c r="F6" s="668"/>
      <c r="G6" s="1"/>
    </row>
    <row r="7" spans="1:14">
      <c r="G7" s="1"/>
    </row>
    <row r="8" spans="1:14" ht="30" customHeight="1">
      <c r="A8" s="4" t="s">
        <v>173</v>
      </c>
      <c r="B8" s="5"/>
      <c r="C8" s="5"/>
      <c r="D8" s="5"/>
      <c r="E8" s="5"/>
      <c r="F8" s="5"/>
    </row>
    <row r="9" spans="1:14">
      <c r="A9" s="78"/>
      <c r="B9" s="7"/>
      <c r="H9" s="8"/>
      <c r="I9" s="8"/>
      <c r="J9" s="8"/>
      <c r="K9" s="8"/>
      <c r="L9" s="8"/>
      <c r="M9" s="8"/>
      <c r="N9" s="8"/>
    </row>
    <row r="10" spans="1:14">
      <c r="A10" s="79"/>
      <c r="B10" s="9" t="s">
        <v>34</v>
      </c>
      <c r="C10" s="10" t="s">
        <v>35</v>
      </c>
      <c r="D10" s="10" t="s">
        <v>36</v>
      </c>
      <c r="E10" s="10" t="s">
        <v>37</v>
      </c>
      <c r="F10" s="10" t="s">
        <v>38</v>
      </c>
      <c r="H10" s="8"/>
      <c r="I10" s="8" t="s">
        <v>33</v>
      </c>
      <c r="J10" s="8"/>
      <c r="K10" s="8"/>
      <c r="L10" s="8"/>
      <c r="M10" s="8"/>
      <c r="N10" s="8"/>
    </row>
    <row r="11" spans="1:14" ht="14">
      <c r="A11" s="80" t="s">
        <v>29</v>
      </c>
      <c r="B11" s="11">
        <v>2019</v>
      </c>
      <c r="C11" s="12">
        <v>2020</v>
      </c>
      <c r="D11" s="12">
        <f>C11+1</f>
        <v>2021</v>
      </c>
      <c r="E11" s="12">
        <f>D11+1</f>
        <v>2022</v>
      </c>
      <c r="F11" s="12">
        <f>E11+1</f>
        <v>2023</v>
      </c>
      <c r="H11" s="8"/>
      <c r="I11" s="8"/>
      <c r="J11" s="8"/>
      <c r="K11" s="8"/>
      <c r="L11" s="8"/>
      <c r="M11" s="8"/>
      <c r="N11" s="8"/>
    </row>
    <row r="12" spans="1:14" s="3" customFormat="1">
      <c r="A12" s="81"/>
      <c r="B12" s="14"/>
      <c r="N12" s="15"/>
    </row>
    <row r="13" spans="1:14" s="3" customFormat="1">
      <c r="A13" s="82"/>
      <c r="C13" s="16"/>
      <c r="E13" s="15" t="s">
        <v>43</v>
      </c>
      <c r="N13" s="15"/>
    </row>
    <row r="14" spans="1:14" s="3" customFormat="1">
      <c r="A14" s="82"/>
      <c r="C14" s="16"/>
      <c r="E14" s="15"/>
    </row>
    <row r="15" spans="1:14" ht="16">
      <c r="A15" s="83" t="s">
        <v>30</v>
      </c>
      <c r="B15" s="17">
        <f>B11</f>
        <v>2019</v>
      </c>
      <c r="C15" s="18">
        <f>C11</f>
        <v>2020</v>
      </c>
      <c r="D15" s="18">
        <f>D11</f>
        <v>2021</v>
      </c>
      <c r="E15" s="18">
        <f>E11</f>
        <v>2022</v>
      </c>
      <c r="F15" s="19">
        <f>F11</f>
        <v>2023</v>
      </c>
    </row>
    <row r="16" spans="1:14" ht="47" customHeight="1">
      <c r="A16" s="84" t="s">
        <v>131</v>
      </c>
      <c r="B16" s="22"/>
      <c r="C16" s="23"/>
      <c r="D16" s="23"/>
      <c r="E16" s="23"/>
      <c r="F16" s="24"/>
    </row>
    <row r="17" spans="1:6" ht="14" customHeight="1">
      <c r="A17" s="85" t="s">
        <v>45</v>
      </c>
      <c r="B17" s="28">
        <v>3000</v>
      </c>
      <c r="C17" s="28">
        <f>'Phan bo Tai chinh'!M16</f>
        <v>22400</v>
      </c>
      <c r="D17" s="28">
        <f>'Phan bo Tai chinh'!N16</f>
        <v>31000</v>
      </c>
      <c r="E17" s="28">
        <f>D17*110%</f>
        <v>34100</v>
      </c>
      <c r="F17" s="29">
        <f>E17*110%</f>
        <v>37510</v>
      </c>
    </row>
    <row r="18" spans="1:6" ht="14" customHeight="1">
      <c r="A18" s="86" t="s">
        <v>4</v>
      </c>
      <c r="B18" s="263">
        <v>1016000</v>
      </c>
      <c r="C18" s="263">
        <f>B18</f>
        <v>1016000</v>
      </c>
      <c r="D18" s="263">
        <f>B18</f>
        <v>1016000</v>
      </c>
      <c r="E18" s="263">
        <f>B18</f>
        <v>1016000</v>
      </c>
      <c r="F18" s="264">
        <f>B18</f>
        <v>1016000</v>
      </c>
    </row>
    <row r="19" spans="1:6" ht="28" customHeight="1">
      <c r="A19" s="87" t="s">
        <v>81</v>
      </c>
      <c r="B19" s="265">
        <f>B17*B18</f>
        <v>3048000000</v>
      </c>
      <c r="C19" s="265">
        <f t="shared" ref="C19:D19" si="0">C17*C18</f>
        <v>22758400000</v>
      </c>
      <c r="D19" s="265">
        <f t="shared" si="0"/>
        <v>31496000000</v>
      </c>
      <c r="E19" s="265">
        <f t="shared" ref="E19" si="1">E17*E18</f>
        <v>34645600000</v>
      </c>
      <c r="F19" s="265">
        <f t="shared" ref="F19" si="2">F17*F18</f>
        <v>38110160000</v>
      </c>
    </row>
    <row r="20" spans="1:6" ht="35" customHeight="1">
      <c r="A20" s="88" t="s">
        <v>80</v>
      </c>
      <c r="B20" s="69">
        <f>B19/B34</f>
        <v>0.82646420824295008</v>
      </c>
      <c r="C20" s="69">
        <f>C19/C34</f>
        <v>0.61545118231183615</v>
      </c>
      <c r="D20" s="69">
        <v>0.38</v>
      </c>
      <c r="E20" s="69">
        <v>0.38</v>
      </c>
      <c r="F20" s="72">
        <v>0.38</v>
      </c>
    </row>
    <row r="21" spans="1:6" ht="45" customHeight="1">
      <c r="A21" s="89" t="s">
        <v>132</v>
      </c>
      <c r="B21" s="22"/>
      <c r="C21" s="40"/>
      <c r="D21" s="40"/>
      <c r="E21" s="40"/>
      <c r="F21" s="41"/>
    </row>
    <row r="22" spans="1:6" ht="14" customHeight="1">
      <c r="A22" s="85" t="s">
        <v>79</v>
      </c>
      <c r="B22" s="28">
        <v>2000</v>
      </c>
      <c r="C22" s="28">
        <f>'Phan bo Tai chinh'!M20</f>
        <v>36000</v>
      </c>
      <c r="D22" s="28">
        <f>'Phan bo Tai chinh'!N20</f>
        <v>60000</v>
      </c>
      <c r="E22" s="28">
        <f>D22*125%</f>
        <v>75000</v>
      </c>
      <c r="F22" s="29">
        <f>E22*125%</f>
        <v>93750</v>
      </c>
    </row>
    <row r="23" spans="1:6" ht="14" customHeight="1">
      <c r="A23" s="86" t="s">
        <v>44</v>
      </c>
      <c r="B23" s="33">
        <v>320000</v>
      </c>
      <c r="C23" s="33">
        <v>320000</v>
      </c>
      <c r="D23" s="33">
        <v>320000</v>
      </c>
      <c r="E23" s="33">
        <v>320000</v>
      </c>
      <c r="F23" s="71">
        <v>320000</v>
      </c>
    </row>
    <row r="24" spans="1:6" ht="33" customHeight="1">
      <c r="A24" s="87" t="s">
        <v>82</v>
      </c>
      <c r="B24" s="37">
        <f>B22*B23</f>
        <v>640000000</v>
      </c>
      <c r="C24" s="37">
        <f>C22*C23</f>
        <v>11520000000</v>
      </c>
      <c r="D24" s="37">
        <f t="shared" ref="D24:F24" si="3">D22*D23</f>
        <v>19200000000</v>
      </c>
      <c r="E24" s="37">
        <f t="shared" si="3"/>
        <v>24000000000</v>
      </c>
      <c r="F24" s="37">
        <f t="shared" si="3"/>
        <v>30000000000</v>
      </c>
    </row>
    <row r="25" spans="1:6" ht="32" customHeight="1">
      <c r="A25" s="88" t="s">
        <v>80</v>
      </c>
      <c r="B25" s="70">
        <f>B24/B34</f>
        <v>0.17353579175704989</v>
      </c>
      <c r="C25" s="68">
        <f>C24/C34</f>
        <v>0.31153321939294293</v>
      </c>
      <c r="D25" s="68">
        <f t="shared" ref="D25:F25" si="4">D24/D34</f>
        <v>0.34227039361095263</v>
      </c>
      <c r="E25" s="68">
        <f t="shared" si="4"/>
        <v>0.34559424931169147</v>
      </c>
      <c r="F25" s="68">
        <f t="shared" si="4"/>
        <v>0.33441028307161641</v>
      </c>
    </row>
    <row r="26" spans="1:6" ht="34.5" customHeight="1">
      <c r="A26" s="89" t="s">
        <v>130</v>
      </c>
      <c r="B26" s="22"/>
      <c r="C26" s="40"/>
      <c r="D26" s="40"/>
      <c r="E26" s="40"/>
      <c r="F26" s="41"/>
    </row>
    <row r="27" spans="1:6" ht="14" customHeight="1">
      <c r="A27" s="85" t="s">
        <v>79</v>
      </c>
      <c r="B27" s="28">
        <v>0</v>
      </c>
      <c r="C27" s="28">
        <f>'Phan bo Tai chinh'!M23</f>
        <v>10000</v>
      </c>
      <c r="D27" s="28">
        <f>'Phan bo Tai chinh'!N23</f>
        <v>20000</v>
      </c>
      <c r="E27" s="28">
        <f>D27*200%</f>
        <v>40000</v>
      </c>
      <c r="F27" s="29">
        <f>E27*200%</f>
        <v>80000</v>
      </c>
    </row>
    <row r="28" spans="1:6" ht="14" customHeight="1">
      <c r="A28" s="86" t="s">
        <v>44</v>
      </c>
      <c r="B28" s="33">
        <v>270000</v>
      </c>
      <c r="C28" s="33">
        <v>270000</v>
      </c>
      <c r="D28" s="33">
        <v>270000</v>
      </c>
      <c r="E28" s="33">
        <v>270000</v>
      </c>
      <c r="F28" s="71">
        <v>270000</v>
      </c>
    </row>
    <row r="29" spans="1:6" ht="33" customHeight="1">
      <c r="A29" s="87" t="s">
        <v>82</v>
      </c>
      <c r="B29" s="37">
        <f>B28*B27</f>
        <v>0</v>
      </c>
      <c r="C29" s="37">
        <f t="shared" ref="C29:D29" si="5">C28*C27</f>
        <v>2700000000</v>
      </c>
      <c r="D29" s="37">
        <f t="shared" si="5"/>
        <v>5400000000</v>
      </c>
      <c r="E29" s="37">
        <f t="shared" ref="E29" si="6">E28*E27</f>
        <v>10800000000</v>
      </c>
      <c r="F29" s="37">
        <f t="shared" ref="F29" si="7">F28*F27</f>
        <v>21600000000</v>
      </c>
    </row>
    <row r="30" spans="1:6" ht="32" customHeight="1">
      <c r="A30" s="88" t="s">
        <v>80</v>
      </c>
      <c r="B30" s="70">
        <f>B29/B34</f>
        <v>0</v>
      </c>
      <c r="C30" s="68">
        <f>C29/C34</f>
        <v>7.3015598295220988E-2</v>
      </c>
      <c r="D30" s="68">
        <f t="shared" ref="D30:F30" si="8">D29/D34</f>
        <v>9.6263548203080432E-2</v>
      </c>
      <c r="E30" s="68">
        <f t="shared" si="8"/>
        <v>0.15551741219026116</v>
      </c>
      <c r="F30" s="68">
        <f t="shared" si="8"/>
        <v>0.24077540381156382</v>
      </c>
    </row>
    <row r="31" spans="1:6" ht="14" customHeight="1">
      <c r="A31" s="86"/>
      <c r="B31" s="33"/>
      <c r="C31" s="34"/>
      <c r="D31" s="34"/>
      <c r="E31" s="34"/>
      <c r="F31" s="35"/>
    </row>
    <row r="32" spans="1:6" ht="14" customHeight="1">
      <c r="A32" s="90" t="s">
        <v>46</v>
      </c>
      <c r="B32" s="62">
        <v>0</v>
      </c>
      <c r="C32" s="62">
        <f>C34/B34</f>
        <v>10.026681127982647</v>
      </c>
      <c r="D32" s="62">
        <f>D34/C34</f>
        <v>1.5169937044328581</v>
      </c>
      <c r="E32" s="62">
        <f>E34/D34</f>
        <v>1.2379777524244153</v>
      </c>
      <c r="F32" s="63">
        <f>F34/E34</f>
        <v>1.2918048083679887</v>
      </c>
    </row>
    <row r="33" spans="1:6" ht="14" customHeight="1">
      <c r="A33" s="91"/>
      <c r="B33" s="46"/>
      <c r="C33" s="46"/>
      <c r="D33" s="46"/>
      <c r="E33" s="46"/>
      <c r="F33" s="47"/>
    </row>
    <row r="34" spans="1:6" ht="22" customHeight="1" thickBot="1">
      <c r="A34" s="92" t="s">
        <v>32</v>
      </c>
      <c r="B34" s="48">
        <f>B29+B24+B19</f>
        <v>3688000000</v>
      </c>
      <c r="C34" s="48">
        <f t="shared" ref="C34:F34" si="9">C29+C24+C19</f>
        <v>36978400000</v>
      </c>
      <c r="D34" s="48">
        <f t="shared" si="9"/>
        <v>56096000000</v>
      </c>
      <c r="E34" s="48">
        <f t="shared" si="9"/>
        <v>69445600000</v>
      </c>
      <c r="F34" s="48">
        <f t="shared" si="9"/>
        <v>89710160000</v>
      </c>
    </row>
    <row r="35" spans="1:6" ht="14" customHeight="1" thickTop="1">
      <c r="A35" s="81"/>
      <c r="B35" s="67"/>
      <c r="C35" s="67"/>
      <c r="D35" s="67"/>
      <c r="E35" s="67"/>
      <c r="F35" s="67"/>
    </row>
    <row r="36" spans="1:6" ht="14" customHeight="1">
      <c r="A36" s="81"/>
      <c r="B36" s="67"/>
      <c r="C36" s="67"/>
      <c r="D36" s="67"/>
      <c r="E36" s="67"/>
      <c r="F36" s="67"/>
    </row>
    <row r="37" spans="1:6" s="103" customFormat="1" ht="15">
      <c r="A37" s="670" t="str">
        <f>"Giả định về tỷ lệ doanh thu theo từng tháng trong năm "&amp;B11&amp;" và "&amp;C11</f>
        <v>Giả định về tỷ lệ doanh thu theo từng tháng trong năm 2019 và 2020</v>
      </c>
      <c r="B37" s="670"/>
      <c r="C37" s="670"/>
      <c r="D37" s="670"/>
      <c r="E37" s="670"/>
      <c r="F37" s="670"/>
    </row>
    <row r="38" spans="1:6" s="103" customFormat="1" ht="15">
      <c r="A38" s="670" t="str">
        <f>"và theo Quý cho các năm "&amp;D11&amp;", "&amp;E11&amp;", "&amp;F11&amp;" (%)"</f>
        <v>và theo Quý cho các năm 2021, 2022, 2023 (%)</v>
      </c>
      <c r="B38" s="670"/>
      <c r="C38" s="670"/>
      <c r="D38" s="670"/>
      <c r="E38" s="670"/>
      <c r="F38" s="670"/>
    </row>
    <row r="39" spans="1:6">
      <c r="A39" s="93"/>
      <c r="B39" s="3"/>
      <c r="C39" s="3"/>
      <c r="D39" s="3"/>
      <c r="E39" s="3"/>
      <c r="F39" s="3"/>
    </row>
    <row r="40" spans="1:6">
      <c r="A40" s="94"/>
      <c r="B40" s="20">
        <f>B11</f>
        <v>2019</v>
      </c>
      <c r="C40" s="20">
        <f>C11</f>
        <v>2020</v>
      </c>
      <c r="D40" s="20">
        <f>D11</f>
        <v>2021</v>
      </c>
      <c r="E40" s="20">
        <f>E11</f>
        <v>2022</v>
      </c>
      <c r="F40" s="21">
        <f>F11</f>
        <v>2023</v>
      </c>
    </row>
    <row r="41" spans="1:6" ht="14">
      <c r="A41" s="95" t="s">
        <v>6</v>
      </c>
      <c r="B41" s="25"/>
      <c r="C41" s="25">
        <v>0.06</v>
      </c>
      <c r="D41" s="26"/>
      <c r="E41" s="26"/>
      <c r="F41" s="27"/>
    </row>
    <row r="42" spans="1:6" ht="14">
      <c r="A42" s="96" t="s">
        <v>7</v>
      </c>
      <c r="B42" s="30"/>
      <c r="C42" s="30">
        <v>7.0000000000000007E-2</v>
      </c>
      <c r="D42" s="31"/>
      <c r="E42" s="31"/>
      <c r="F42" s="32"/>
    </row>
    <row r="43" spans="1:6" ht="14">
      <c r="A43" s="96" t="s">
        <v>8</v>
      </c>
      <c r="B43" s="36"/>
      <c r="C43" s="30">
        <v>7.0000000000000007E-2</v>
      </c>
      <c r="D43" s="31"/>
      <c r="E43" s="31"/>
      <c r="F43" s="32"/>
    </row>
    <row r="44" spans="1:6" ht="14">
      <c r="A44" s="101" t="s">
        <v>10</v>
      </c>
      <c r="B44" s="38"/>
      <c r="C44" s="65">
        <f>SUM(C41:C43)</f>
        <v>0.2</v>
      </c>
      <c r="D44" s="39">
        <v>0.25</v>
      </c>
      <c r="E44" s="39">
        <v>0.25</v>
      </c>
      <c r="F44" s="64">
        <v>0.25</v>
      </c>
    </row>
    <row r="45" spans="1:6" ht="14">
      <c r="A45" s="95" t="s">
        <v>11</v>
      </c>
      <c r="B45" s="42"/>
      <c r="C45" s="30">
        <v>0.08</v>
      </c>
      <c r="D45" s="26"/>
      <c r="E45" s="26"/>
      <c r="F45" s="27"/>
    </row>
    <row r="46" spans="1:6" ht="14">
      <c r="A46" s="96" t="s">
        <v>12</v>
      </c>
      <c r="B46" s="36"/>
      <c r="C46" s="30">
        <v>0.08</v>
      </c>
      <c r="D46" s="31"/>
      <c r="E46" s="31"/>
      <c r="F46" s="32"/>
    </row>
    <row r="47" spans="1:6" ht="14">
      <c r="A47" s="96" t="s">
        <v>13</v>
      </c>
      <c r="B47" s="36"/>
      <c r="C47" s="30">
        <v>0.08</v>
      </c>
      <c r="D47" s="31"/>
      <c r="E47" s="3"/>
      <c r="F47" s="32"/>
    </row>
    <row r="48" spans="1:6" ht="14">
      <c r="A48" s="101" t="s">
        <v>15</v>
      </c>
      <c r="B48" s="38">
        <f>SUM(B45:B47)</f>
        <v>0</v>
      </c>
      <c r="C48" s="65">
        <f>SUM(C45:C47)</f>
        <v>0.24</v>
      </c>
      <c r="D48" s="39">
        <v>0.25</v>
      </c>
      <c r="E48" s="39">
        <v>0.25</v>
      </c>
      <c r="F48" s="64">
        <v>0.25</v>
      </c>
    </row>
    <row r="49" spans="1:6" ht="14">
      <c r="A49" s="95" t="s">
        <v>16</v>
      </c>
      <c r="B49" s="42"/>
      <c r="C49" s="30">
        <v>0.09</v>
      </c>
      <c r="D49" s="26"/>
      <c r="E49" s="26"/>
      <c r="F49" s="27"/>
    </row>
    <row r="50" spans="1:6" ht="14">
      <c r="A50" s="96" t="s">
        <v>17</v>
      </c>
      <c r="B50" s="36">
        <v>0.1</v>
      </c>
      <c r="C50" s="30">
        <v>0.09</v>
      </c>
      <c r="D50" s="31"/>
      <c r="E50" s="31"/>
      <c r="F50" s="32"/>
    </row>
    <row r="51" spans="1:6" ht="14">
      <c r="A51" s="96" t="s">
        <v>18</v>
      </c>
      <c r="B51" s="36">
        <v>0.2</v>
      </c>
      <c r="C51" s="30">
        <v>0.09</v>
      </c>
      <c r="D51" s="31"/>
      <c r="E51" s="31"/>
      <c r="F51" s="32"/>
    </row>
    <row r="52" spans="1:6" ht="14">
      <c r="A52" s="101" t="s">
        <v>20</v>
      </c>
      <c r="B52" s="43">
        <f>SUM(B49:B51)</f>
        <v>0.30000000000000004</v>
      </c>
      <c r="C52" s="65">
        <f>SUM(C49:C51)</f>
        <v>0.27</v>
      </c>
      <c r="D52" s="39">
        <v>0.25</v>
      </c>
      <c r="E52" s="39">
        <v>0.25</v>
      </c>
      <c r="F52" s="64">
        <v>0.25</v>
      </c>
    </row>
    <row r="53" spans="1:6" ht="14">
      <c r="A53" s="96" t="s">
        <v>21</v>
      </c>
      <c r="B53" s="36">
        <v>0.2</v>
      </c>
      <c r="C53" s="30">
        <v>0.09</v>
      </c>
      <c r="D53" s="31"/>
      <c r="E53" s="31"/>
      <c r="F53" s="32"/>
    </row>
    <row r="54" spans="1:6" ht="14">
      <c r="A54" s="96" t="s">
        <v>22</v>
      </c>
      <c r="B54" s="36">
        <v>0.2</v>
      </c>
      <c r="C54" s="30">
        <v>0.1</v>
      </c>
      <c r="D54" s="31"/>
      <c r="E54" s="31"/>
      <c r="F54" s="32"/>
    </row>
    <row r="55" spans="1:6" ht="14">
      <c r="A55" s="96" t="s">
        <v>23</v>
      </c>
      <c r="B55" s="36">
        <v>0.3</v>
      </c>
      <c r="C55" s="30">
        <v>0.1</v>
      </c>
      <c r="D55" s="31"/>
      <c r="E55" s="31"/>
      <c r="F55" s="32"/>
    </row>
    <row r="56" spans="1:6" ht="14">
      <c r="A56" s="102" t="s">
        <v>25</v>
      </c>
      <c r="B56" s="38">
        <f>SUM(B53:B55)</f>
        <v>0.7</v>
      </c>
      <c r="C56" s="65">
        <f>SUM(C53:C55)</f>
        <v>0.29000000000000004</v>
      </c>
      <c r="D56" s="30">
        <v>0.25</v>
      </c>
      <c r="E56" s="30">
        <v>0.25</v>
      </c>
      <c r="F56" s="64">
        <v>0.25</v>
      </c>
    </row>
    <row r="57" spans="1:6" ht="15" thickBot="1">
      <c r="A57" s="97" t="s">
        <v>27</v>
      </c>
      <c r="B57" s="44">
        <f>SUM(B41:B43,B45:B47,B49:B51,B53:B55)</f>
        <v>1</v>
      </c>
      <c r="C57" s="66">
        <f>SUM(C41:C43,C45:C47,C49:C51,C53:C55)</f>
        <v>0.99999999999999989</v>
      </c>
      <c r="D57" s="44">
        <f>SUM(D44,D48,D52,D56)</f>
        <v>1</v>
      </c>
      <c r="E57" s="44">
        <f>SUM(E44,E48,E52,E56)</f>
        <v>1</v>
      </c>
      <c r="F57" s="45">
        <f>SUM(F44,F48,F52,F56)</f>
        <v>1</v>
      </c>
    </row>
    <row r="58" spans="1:6" ht="14" thickTop="1"/>
    <row r="59" spans="1:6" ht="14">
      <c r="A59" s="98" t="s">
        <v>31</v>
      </c>
      <c r="B59" s="8" t="str">
        <f>IF(B57=100%,"OK","Chưa được")</f>
        <v>OK</v>
      </c>
      <c r="C59" s="8" t="str">
        <f>IF(C57=100%,"OK","Chưa được")</f>
        <v>OK</v>
      </c>
      <c r="D59" s="8" t="str">
        <f>IF(D57=100%,"OK","Chưa được")</f>
        <v>OK</v>
      </c>
      <c r="E59" s="8" t="str">
        <f>IF(E57=100%,"OK","Chưa được")</f>
        <v>OK</v>
      </c>
      <c r="F59" s="8" t="str">
        <f>IF(F57=100%,"OK","Chưa được")</f>
        <v>OK</v>
      </c>
    </row>
    <row r="60" spans="1:6">
      <c r="B60" s="49"/>
      <c r="C60" s="49"/>
      <c r="D60" s="49"/>
      <c r="E60" s="49"/>
      <c r="F60" s="49"/>
    </row>
    <row r="61" spans="1:6">
      <c r="B61" s="49"/>
      <c r="C61" s="49"/>
      <c r="D61" s="49"/>
      <c r="E61" s="49"/>
      <c r="F61" s="49"/>
    </row>
    <row r="62" spans="1:6" s="103" customFormat="1" ht="16">
      <c r="A62" s="77" t="s">
        <v>39</v>
      </c>
    </row>
    <row r="63" spans="1:6">
      <c r="C63" s="8"/>
      <c r="D63" s="50"/>
      <c r="E63" s="6" t="str">
        <f>E13</f>
        <v>(đơn vị: 1000 VNĐ)</v>
      </c>
    </row>
    <row r="64" spans="1:6">
      <c r="A64" s="93"/>
      <c r="D64" s="50"/>
      <c r="E64" s="50"/>
    </row>
    <row r="65" spans="1:6" ht="14">
      <c r="A65" s="104" t="s">
        <v>5</v>
      </c>
      <c r="B65" s="105">
        <f>B11</f>
        <v>2019</v>
      </c>
      <c r="C65" s="106">
        <f>C11</f>
        <v>2020</v>
      </c>
      <c r="D65" s="106">
        <f>D11</f>
        <v>2021</v>
      </c>
      <c r="E65" s="106">
        <f>E11</f>
        <v>2022</v>
      </c>
      <c r="F65" s="107">
        <f>F11</f>
        <v>2023</v>
      </c>
    </row>
    <row r="66" spans="1:6" ht="14">
      <c r="A66" s="96" t="s">
        <v>6</v>
      </c>
      <c r="B66" s="51">
        <f t="shared" ref="B66:C68" si="10">B$34*B41</f>
        <v>0</v>
      </c>
      <c r="C66" s="51">
        <f t="shared" si="10"/>
        <v>2218704000</v>
      </c>
      <c r="D66" s="51"/>
      <c r="E66" s="51"/>
      <c r="F66" s="52"/>
    </row>
    <row r="67" spans="1:6" ht="14">
      <c r="A67" s="96" t="s">
        <v>7</v>
      </c>
      <c r="B67" s="51">
        <f t="shared" si="10"/>
        <v>0</v>
      </c>
      <c r="C67" s="51">
        <f t="shared" si="10"/>
        <v>2588488000.0000005</v>
      </c>
      <c r="D67" s="51"/>
      <c r="E67" s="51"/>
      <c r="F67" s="52"/>
    </row>
    <row r="68" spans="1:6" ht="14">
      <c r="A68" s="96" t="s">
        <v>8</v>
      </c>
      <c r="B68" s="51">
        <f t="shared" si="10"/>
        <v>0</v>
      </c>
      <c r="C68" s="51">
        <f t="shared" si="10"/>
        <v>2588488000.0000005</v>
      </c>
      <c r="D68" s="51"/>
      <c r="E68" s="51"/>
      <c r="F68" s="52"/>
    </row>
    <row r="69" spans="1:6" ht="14">
      <c r="A69" s="100" t="s">
        <v>9</v>
      </c>
      <c r="B69" s="53">
        <f>SUM(B66:B68)</f>
        <v>0</v>
      </c>
      <c r="C69" s="53">
        <f>SUM(C66:C68)</f>
        <v>7395680000</v>
      </c>
      <c r="D69" s="53">
        <f>D$34*D44</f>
        <v>14024000000</v>
      </c>
      <c r="E69" s="53">
        <f>E$34*E44</f>
        <v>17361400000</v>
      </c>
      <c r="F69" s="54">
        <f>F$34*F44</f>
        <v>22427540000</v>
      </c>
    </row>
    <row r="70" spans="1:6" ht="14">
      <c r="A70" s="96" t="s">
        <v>11</v>
      </c>
      <c r="B70" s="51">
        <f t="shared" ref="B70:C72" si="11">B$34*B45</f>
        <v>0</v>
      </c>
      <c r="C70" s="51">
        <f t="shared" si="11"/>
        <v>2958272000</v>
      </c>
      <c r="D70" s="51"/>
      <c r="E70" s="51"/>
      <c r="F70" s="52"/>
    </row>
    <row r="71" spans="1:6" ht="14">
      <c r="A71" s="96" t="s">
        <v>12</v>
      </c>
      <c r="B71" s="51">
        <f t="shared" si="11"/>
        <v>0</v>
      </c>
      <c r="C71" s="51">
        <f t="shared" si="11"/>
        <v>2958272000</v>
      </c>
      <c r="D71" s="51"/>
      <c r="E71" s="51"/>
      <c r="F71" s="52"/>
    </row>
    <row r="72" spans="1:6" ht="14">
      <c r="A72" s="96" t="s">
        <v>13</v>
      </c>
      <c r="B72" s="51">
        <f t="shared" si="11"/>
        <v>0</v>
      </c>
      <c r="C72" s="51">
        <f t="shared" si="11"/>
        <v>2958272000</v>
      </c>
      <c r="D72" s="51"/>
      <c r="E72" s="51"/>
      <c r="F72" s="52"/>
    </row>
    <row r="73" spans="1:6" ht="14">
      <c r="A73" s="100" t="s">
        <v>14</v>
      </c>
      <c r="B73" s="53">
        <f>SUM(B70:B72)</f>
        <v>0</v>
      </c>
      <c r="C73" s="53">
        <f>SUM(C70:C72)</f>
        <v>8874816000</v>
      </c>
      <c r="D73" s="53">
        <f>D$34*D48</f>
        <v>14024000000</v>
      </c>
      <c r="E73" s="53">
        <f>E$34*E48</f>
        <v>17361400000</v>
      </c>
      <c r="F73" s="54">
        <f>F$34*F48</f>
        <v>22427540000</v>
      </c>
    </row>
    <row r="74" spans="1:6" ht="14">
      <c r="A74" s="96" t="s">
        <v>16</v>
      </c>
      <c r="B74" s="51">
        <f t="shared" ref="B74:C76" si="12">B$34*B49</f>
        <v>0</v>
      </c>
      <c r="C74" s="51">
        <f t="shared" si="12"/>
        <v>3328056000</v>
      </c>
      <c r="D74" s="51"/>
      <c r="E74" s="51"/>
      <c r="F74" s="52"/>
    </row>
    <row r="75" spans="1:6" ht="14">
      <c r="A75" s="96" t="s">
        <v>17</v>
      </c>
      <c r="B75" s="51">
        <f t="shared" si="12"/>
        <v>368800000</v>
      </c>
      <c r="C75" s="51">
        <f t="shared" si="12"/>
        <v>3328056000</v>
      </c>
      <c r="D75" s="51"/>
      <c r="E75" s="51"/>
      <c r="F75" s="52"/>
    </row>
    <row r="76" spans="1:6" ht="14">
      <c r="A76" s="96" t="s">
        <v>18</v>
      </c>
      <c r="B76" s="51">
        <f t="shared" si="12"/>
        <v>737600000</v>
      </c>
      <c r="C76" s="51">
        <f t="shared" si="12"/>
        <v>3328056000</v>
      </c>
      <c r="D76" s="51"/>
      <c r="E76" s="51"/>
      <c r="F76" s="52"/>
    </row>
    <row r="77" spans="1:6" ht="14">
      <c r="A77" s="100" t="s">
        <v>19</v>
      </c>
      <c r="B77" s="53">
        <f>SUM(B74:B76)</f>
        <v>1106400000</v>
      </c>
      <c r="C77" s="53">
        <f>SUM(C74:C76)</f>
        <v>9984168000</v>
      </c>
      <c r="D77" s="53">
        <f>D$34*D52</f>
        <v>14024000000</v>
      </c>
      <c r="E77" s="53">
        <f>E$34*E52</f>
        <v>17361400000</v>
      </c>
      <c r="F77" s="54">
        <f>F$34*F52</f>
        <v>22427540000</v>
      </c>
    </row>
    <row r="78" spans="1:6" ht="14">
      <c r="A78" s="96" t="s">
        <v>21</v>
      </c>
      <c r="B78" s="51">
        <f t="shared" ref="B78:C80" si="13">B$34*B53</f>
        <v>737600000</v>
      </c>
      <c r="C78" s="51">
        <f t="shared" si="13"/>
        <v>3328056000</v>
      </c>
      <c r="D78" s="51"/>
      <c r="E78" s="51"/>
      <c r="F78" s="52"/>
    </row>
    <row r="79" spans="1:6" ht="14">
      <c r="A79" s="96" t="s">
        <v>22</v>
      </c>
      <c r="B79" s="51">
        <f t="shared" si="13"/>
        <v>737600000</v>
      </c>
      <c r="C79" s="51">
        <f t="shared" si="13"/>
        <v>3697840000</v>
      </c>
      <c r="D79" s="51"/>
      <c r="E79" s="51"/>
      <c r="F79" s="52"/>
    </row>
    <row r="80" spans="1:6" ht="14">
      <c r="A80" s="96" t="s">
        <v>23</v>
      </c>
      <c r="B80" s="51">
        <f t="shared" si="13"/>
        <v>1106400000</v>
      </c>
      <c r="C80" s="51">
        <f t="shared" si="13"/>
        <v>3697840000</v>
      </c>
      <c r="D80" s="51"/>
      <c r="E80" s="51"/>
      <c r="F80" s="52"/>
    </row>
    <row r="81" spans="1:6" ht="14">
      <c r="A81" s="100" t="s">
        <v>24</v>
      </c>
      <c r="B81" s="53">
        <f>SUM(B78:B80)</f>
        <v>2581600000</v>
      </c>
      <c r="C81" s="53">
        <f>SUM(C78:C80)</f>
        <v>10723736000</v>
      </c>
      <c r="D81" s="53">
        <f>D$34*D56</f>
        <v>14024000000</v>
      </c>
      <c r="E81" s="53">
        <f>E$34*E56</f>
        <v>17361400000</v>
      </c>
      <c r="F81" s="54">
        <f>F$34*F56</f>
        <v>22427540000</v>
      </c>
    </row>
    <row r="82" spans="1:6" ht="15" thickBot="1">
      <c r="A82" s="92" t="s">
        <v>26</v>
      </c>
      <c r="B82" s="55">
        <f>B69+B73+B77+B81</f>
        <v>3688000000</v>
      </c>
      <c r="C82" s="55">
        <f>C69+C73+C77+C81</f>
        <v>36978400000</v>
      </c>
      <c r="D82" s="55">
        <f>SUM(D69+D73+D77+D81)</f>
        <v>56096000000</v>
      </c>
      <c r="E82" s="55">
        <f>E69+E73+E77+E81</f>
        <v>69445600000</v>
      </c>
      <c r="F82" s="56">
        <f>F69+F73+F77+F81</f>
        <v>89710160000</v>
      </c>
    </row>
    <row r="83" spans="1:6" ht="14" thickTop="1"/>
    <row r="84" spans="1:6">
      <c r="A84" s="669" t="s">
        <v>28</v>
      </c>
      <c r="B84" s="669"/>
      <c r="C84" s="669"/>
      <c r="D84" s="669"/>
      <c r="E84" s="669"/>
      <c r="F84" s="669"/>
    </row>
    <row r="85" spans="1:6">
      <c r="A85" s="81"/>
      <c r="B85" s="13"/>
      <c r="C85" s="13"/>
      <c r="D85" s="13"/>
      <c r="E85" s="13"/>
      <c r="F85" s="13"/>
    </row>
    <row r="86" spans="1:6" ht="14">
      <c r="A86" s="99" t="s">
        <v>40</v>
      </c>
      <c r="B86" s="57">
        <f>B34/12</f>
        <v>307333333.33333331</v>
      </c>
      <c r="C86" s="57">
        <f>C34/12</f>
        <v>3081533333.3333335</v>
      </c>
      <c r="D86" s="57">
        <f>D34/12</f>
        <v>4674666666.666667</v>
      </c>
      <c r="E86" s="57">
        <f>E34/12</f>
        <v>5787133333.333333</v>
      </c>
      <c r="F86" s="58">
        <f>F34/12</f>
        <v>7475846666.666667</v>
      </c>
    </row>
    <row r="87" spans="1:6" ht="14">
      <c r="A87" s="86" t="s">
        <v>41</v>
      </c>
      <c r="B87" s="59">
        <f>B34/4</f>
        <v>922000000</v>
      </c>
      <c r="C87" s="59">
        <f>C34/4</f>
        <v>9244600000</v>
      </c>
      <c r="D87" s="59">
        <f>D34/4</f>
        <v>14024000000</v>
      </c>
      <c r="E87" s="59">
        <f>E34/4</f>
        <v>17361400000</v>
      </c>
      <c r="F87" s="60">
        <f>F34/4</f>
        <v>22427540000</v>
      </c>
    </row>
    <row r="90" spans="1:6">
      <c r="E90" s="61"/>
    </row>
  </sheetData>
  <mergeCells count="9">
    <mergeCell ref="B6:F6"/>
    <mergeCell ref="A84:F84"/>
    <mergeCell ref="A37:F37"/>
    <mergeCell ref="A38:F38"/>
    <mergeCell ref="B1:F1"/>
    <mergeCell ref="B2:F2"/>
    <mergeCell ref="B3:F3"/>
    <mergeCell ref="B4:F4"/>
    <mergeCell ref="B5:F5"/>
  </mergeCells>
  <phoneticPr fontId="2" type="noConversion"/>
  <printOptions horizontalCentered="1"/>
  <pageMargins left="0.70866141732283472" right="0.70866141732283472" top="0.98425196850393704" bottom="0.78740157480314965" header="0" footer="0"/>
  <pageSetup paperSize="9" scale="64" fitToHeight="0" orientation="portrait" r:id="rId1"/>
  <headerFooter alignWithMargins="0">
    <oddHeader>&amp;L&amp;G</oddHeader>
    <oddFooter>&amp;R&amp;G</oddFooter>
  </headerFooter>
  <colBreaks count="1" manualBreakCount="1">
    <brk id="7" min="4" max="65" man="1"/>
  </colBreaks>
  <cellWatches>
    <cellWatch r="C49"/>
  </cellWatches>
  <ignoredErrors>
    <ignoredError sqref="B69:C69 B73:C73 B77:C77 D82" formula="1"/>
  </ignoredErrors>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72"/>
  <sheetViews>
    <sheetView topLeftCell="A7" zoomScaleNormal="100" workbookViewId="0">
      <selection activeCell="A63" sqref="A63:XFD63"/>
    </sheetView>
  </sheetViews>
  <sheetFormatPr baseColWidth="10" defaultColWidth="8.6640625" defaultRowHeight="13"/>
  <cols>
    <col min="1" max="1" width="5" style="110" customWidth="1"/>
    <col min="2" max="2" width="32.6640625" style="110" customWidth="1"/>
    <col min="3" max="3" width="6.6640625" style="111" customWidth="1"/>
    <col min="4" max="4" width="14.33203125" style="112" customWidth="1"/>
    <col min="5" max="5" width="16.1640625" style="112" customWidth="1"/>
    <col min="6" max="6" width="10.33203125" style="113" customWidth="1"/>
    <col min="7" max="7" width="10" style="113" customWidth="1"/>
    <col min="8" max="8" width="17.83203125" style="112" customWidth="1"/>
    <col min="9" max="9" width="10.33203125" style="114" customWidth="1"/>
    <col min="10" max="10" width="16.1640625" style="112" customWidth="1"/>
    <col min="11" max="11" width="10.33203125" style="113" customWidth="1"/>
    <col min="12" max="12" width="10.33203125" style="339" customWidth="1"/>
    <col min="13" max="13" width="15.83203125" style="109" customWidth="1"/>
    <col min="14" max="14" width="10.1640625" style="108" customWidth="1"/>
    <col min="15" max="15" width="10.6640625" style="109" customWidth="1"/>
    <col min="16" max="19" width="9.1640625" style="108" customWidth="1"/>
    <col min="20" max="20" width="51.5" style="108" customWidth="1"/>
    <col min="21" max="21" width="58.6640625" style="108" customWidth="1"/>
    <col min="22" max="22" width="53.6640625" style="108" customWidth="1"/>
    <col min="23" max="23" width="58.5" style="108" customWidth="1"/>
    <col min="24" max="24" width="95.5" style="108" customWidth="1"/>
    <col min="25" max="25" width="50.6640625" style="108" customWidth="1"/>
    <col min="26" max="26" width="10.6640625" style="108" customWidth="1"/>
    <col min="27" max="27" width="10.5" style="108" customWidth="1"/>
    <col min="28" max="257" width="8.6640625" style="108"/>
    <col min="258" max="258" width="5" style="108" customWidth="1"/>
    <col min="259" max="259" width="46.5" style="108" customWidth="1"/>
    <col min="260" max="260" width="13.6640625" style="108" customWidth="1"/>
    <col min="261" max="261" width="14.33203125" style="108" customWidth="1"/>
    <col min="262" max="262" width="19.83203125" style="108" customWidth="1"/>
    <col min="263" max="263" width="10.33203125" style="108" customWidth="1"/>
    <col min="264" max="264" width="10" style="108" customWidth="1"/>
    <col min="265" max="265" width="22.33203125" style="108" customWidth="1"/>
    <col min="266" max="266" width="10.33203125" style="108" customWidth="1"/>
    <col min="267" max="267" width="22" style="108" customWidth="1"/>
    <col min="268" max="268" width="10.33203125" style="108" customWidth="1"/>
    <col min="269" max="269" width="15.83203125" style="108" customWidth="1"/>
    <col min="270" max="275" width="9.1640625" style="108" customWidth="1"/>
    <col min="276" max="276" width="51.5" style="108" customWidth="1"/>
    <col min="277" max="277" width="58.6640625" style="108" customWidth="1"/>
    <col min="278" max="278" width="53.6640625" style="108" customWidth="1"/>
    <col min="279" max="279" width="58.5" style="108" customWidth="1"/>
    <col min="280" max="280" width="95.5" style="108" customWidth="1"/>
    <col min="281" max="281" width="50.6640625" style="108" customWidth="1"/>
    <col min="282" max="282" width="10.6640625" style="108" customWidth="1"/>
    <col min="283" max="283" width="10.5" style="108" customWidth="1"/>
    <col min="284" max="513" width="8.6640625" style="108"/>
    <col min="514" max="514" width="5" style="108" customWidth="1"/>
    <col min="515" max="515" width="46.5" style="108" customWidth="1"/>
    <col min="516" max="516" width="13.6640625" style="108" customWidth="1"/>
    <col min="517" max="517" width="14.33203125" style="108" customWidth="1"/>
    <col min="518" max="518" width="19.83203125" style="108" customWidth="1"/>
    <col min="519" max="519" width="10.33203125" style="108" customWidth="1"/>
    <col min="520" max="520" width="10" style="108" customWidth="1"/>
    <col min="521" max="521" width="22.33203125" style="108" customWidth="1"/>
    <col min="522" max="522" width="10.33203125" style="108" customWidth="1"/>
    <col min="523" max="523" width="22" style="108" customWidth="1"/>
    <col min="524" max="524" width="10.33203125" style="108" customWidth="1"/>
    <col min="525" max="525" width="15.83203125" style="108" customWidth="1"/>
    <col min="526" max="531" width="9.1640625" style="108" customWidth="1"/>
    <col min="532" max="532" width="51.5" style="108" customWidth="1"/>
    <col min="533" max="533" width="58.6640625" style="108" customWidth="1"/>
    <col min="534" max="534" width="53.6640625" style="108" customWidth="1"/>
    <col min="535" max="535" width="58.5" style="108" customWidth="1"/>
    <col min="536" max="536" width="95.5" style="108" customWidth="1"/>
    <col min="537" max="537" width="50.6640625" style="108" customWidth="1"/>
    <col min="538" max="538" width="10.6640625" style="108" customWidth="1"/>
    <col min="539" max="539" width="10.5" style="108" customWidth="1"/>
    <col min="540" max="769" width="8.6640625" style="108"/>
    <col min="770" max="770" width="5" style="108" customWidth="1"/>
    <col min="771" max="771" width="46.5" style="108" customWidth="1"/>
    <col min="772" max="772" width="13.6640625" style="108" customWidth="1"/>
    <col min="773" max="773" width="14.33203125" style="108" customWidth="1"/>
    <col min="774" max="774" width="19.83203125" style="108" customWidth="1"/>
    <col min="775" max="775" width="10.33203125" style="108" customWidth="1"/>
    <col min="776" max="776" width="10" style="108" customWidth="1"/>
    <col min="777" max="777" width="22.33203125" style="108" customWidth="1"/>
    <col min="778" max="778" width="10.33203125" style="108" customWidth="1"/>
    <col min="779" max="779" width="22" style="108" customWidth="1"/>
    <col min="780" max="780" width="10.33203125" style="108" customWidth="1"/>
    <col min="781" max="781" width="15.83203125" style="108" customWidth="1"/>
    <col min="782" max="787" width="9.1640625" style="108" customWidth="1"/>
    <col min="788" max="788" width="51.5" style="108" customWidth="1"/>
    <col min="789" max="789" width="58.6640625" style="108" customWidth="1"/>
    <col min="790" max="790" width="53.6640625" style="108" customWidth="1"/>
    <col min="791" max="791" width="58.5" style="108" customWidth="1"/>
    <col min="792" max="792" width="95.5" style="108" customWidth="1"/>
    <col min="793" max="793" width="50.6640625" style="108" customWidth="1"/>
    <col min="794" max="794" width="10.6640625" style="108" customWidth="1"/>
    <col min="795" max="795" width="10.5" style="108" customWidth="1"/>
    <col min="796" max="1025" width="8.6640625" style="108"/>
    <col min="1026" max="1026" width="5" style="108" customWidth="1"/>
    <col min="1027" max="1027" width="46.5" style="108" customWidth="1"/>
    <col min="1028" max="1028" width="13.6640625" style="108" customWidth="1"/>
    <col min="1029" max="1029" width="14.33203125" style="108" customWidth="1"/>
    <col min="1030" max="1030" width="19.83203125" style="108" customWidth="1"/>
    <col min="1031" max="1031" width="10.33203125" style="108" customWidth="1"/>
    <col min="1032" max="1032" width="10" style="108" customWidth="1"/>
    <col min="1033" max="1033" width="22.33203125" style="108" customWidth="1"/>
    <col min="1034" max="1034" width="10.33203125" style="108" customWidth="1"/>
    <col min="1035" max="1035" width="22" style="108" customWidth="1"/>
    <col min="1036" max="1036" width="10.33203125" style="108" customWidth="1"/>
    <col min="1037" max="1037" width="15.83203125" style="108" customWidth="1"/>
    <col min="1038" max="1043" width="9.1640625" style="108" customWidth="1"/>
    <col min="1044" max="1044" width="51.5" style="108" customWidth="1"/>
    <col min="1045" max="1045" width="58.6640625" style="108" customWidth="1"/>
    <col min="1046" max="1046" width="53.6640625" style="108" customWidth="1"/>
    <col min="1047" max="1047" width="58.5" style="108" customWidth="1"/>
    <col min="1048" max="1048" width="95.5" style="108" customWidth="1"/>
    <col min="1049" max="1049" width="50.6640625" style="108" customWidth="1"/>
    <col min="1050" max="1050" width="10.6640625" style="108" customWidth="1"/>
    <col min="1051" max="1051" width="10.5" style="108" customWidth="1"/>
    <col min="1052" max="1281" width="8.6640625" style="108"/>
    <col min="1282" max="1282" width="5" style="108" customWidth="1"/>
    <col min="1283" max="1283" width="46.5" style="108" customWidth="1"/>
    <col min="1284" max="1284" width="13.6640625" style="108" customWidth="1"/>
    <col min="1285" max="1285" width="14.33203125" style="108" customWidth="1"/>
    <col min="1286" max="1286" width="19.83203125" style="108" customWidth="1"/>
    <col min="1287" max="1287" width="10.33203125" style="108" customWidth="1"/>
    <col min="1288" max="1288" width="10" style="108" customWidth="1"/>
    <col min="1289" max="1289" width="22.33203125" style="108" customWidth="1"/>
    <col min="1290" max="1290" width="10.33203125" style="108" customWidth="1"/>
    <col min="1291" max="1291" width="22" style="108" customWidth="1"/>
    <col min="1292" max="1292" width="10.33203125" style="108" customWidth="1"/>
    <col min="1293" max="1293" width="15.83203125" style="108" customWidth="1"/>
    <col min="1294" max="1299" width="9.1640625" style="108" customWidth="1"/>
    <col min="1300" max="1300" width="51.5" style="108" customWidth="1"/>
    <col min="1301" max="1301" width="58.6640625" style="108" customWidth="1"/>
    <col min="1302" max="1302" width="53.6640625" style="108" customWidth="1"/>
    <col min="1303" max="1303" width="58.5" style="108" customWidth="1"/>
    <col min="1304" max="1304" width="95.5" style="108" customWidth="1"/>
    <col min="1305" max="1305" width="50.6640625" style="108" customWidth="1"/>
    <col min="1306" max="1306" width="10.6640625" style="108" customWidth="1"/>
    <col min="1307" max="1307" width="10.5" style="108" customWidth="1"/>
    <col min="1308" max="1537" width="8.6640625" style="108"/>
    <col min="1538" max="1538" width="5" style="108" customWidth="1"/>
    <col min="1539" max="1539" width="46.5" style="108" customWidth="1"/>
    <col min="1540" max="1540" width="13.6640625" style="108" customWidth="1"/>
    <col min="1541" max="1541" width="14.33203125" style="108" customWidth="1"/>
    <col min="1542" max="1542" width="19.83203125" style="108" customWidth="1"/>
    <col min="1543" max="1543" width="10.33203125" style="108" customWidth="1"/>
    <col min="1544" max="1544" width="10" style="108" customWidth="1"/>
    <col min="1545" max="1545" width="22.33203125" style="108" customWidth="1"/>
    <col min="1546" max="1546" width="10.33203125" style="108" customWidth="1"/>
    <col min="1547" max="1547" width="22" style="108" customWidth="1"/>
    <col min="1548" max="1548" width="10.33203125" style="108" customWidth="1"/>
    <col min="1549" max="1549" width="15.83203125" style="108" customWidth="1"/>
    <col min="1550" max="1555" width="9.1640625" style="108" customWidth="1"/>
    <col min="1556" max="1556" width="51.5" style="108" customWidth="1"/>
    <col min="1557" max="1557" width="58.6640625" style="108" customWidth="1"/>
    <col min="1558" max="1558" width="53.6640625" style="108" customWidth="1"/>
    <col min="1559" max="1559" width="58.5" style="108" customWidth="1"/>
    <col min="1560" max="1560" width="95.5" style="108" customWidth="1"/>
    <col min="1561" max="1561" width="50.6640625" style="108" customWidth="1"/>
    <col min="1562" max="1562" width="10.6640625" style="108" customWidth="1"/>
    <col min="1563" max="1563" width="10.5" style="108" customWidth="1"/>
    <col min="1564" max="1793" width="8.6640625" style="108"/>
    <col min="1794" max="1794" width="5" style="108" customWidth="1"/>
    <col min="1795" max="1795" width="46.5" style="108" customWidth="1"/>
    <col min="1796" max="1796" width="13.6640625" style="108" customWidth="1"/>
    <col min="1797" max="1797" width="14.33203125" style="108" customWidth="1"/>
    <col min="1798" max="1798" width="19.83203125" style="108" customWidth="1"/>
    <col min="1799" max="1799" width="10.33203125" style="108" customWidth="1"/>
    <col min="1800" max="1800" width="10" style="108" customWidth="1"/>
    <col min="1801" max="1801" width="22.33203125" style="108" customWidth="1"/>
    <col min="1802" max="1802" width="10.33203125" style="108" customWidth="1"/>
    <col min="1803" max="1803" width="22" style="108" customWidth="1"/>
    <col min="1804" max="1804" width="10.33203125" style="108" customWidth="1"/>
    <col min="1805" max="1805" width="15.83203125" style="108" customWidth="1"/>
    <col min="1806" max="1811" width="9.1640625" style="108" customWidth="1"/>
    <col min="1812" max="1812" width="51.5" style="108" customWidth="1"/>
    <col min="1813" max="1813" width="58.6640625" style="108" customWidth="1"/>
    <col min="1814" max="1814" width="53.6640625" style="108" customWidth="1"/>
    <col min="1815" max="1815" width="58.5" style="108" customWidth="1"/>
    <col min="1816" max="1816" width="95.5" style="108" customWidth="1"/>
    <col min="1817" max="1817" width="50.6640625" style="108" customWidth="1"/>
    <col min="1818" max="1818" width="10.6640625" style="108" customWidth="1"/>
    <col min="1819" max="1819" width="10.5" style="108" customWidth="1"/>
    <col min="1820" max="2049" width="8.6640625" style="108"/>
    <col min="2050" max="2050" width="5" style="108" customWidth="1"/>
    <col min="2051" max="2051" width="46.5" style="108" customWidth="1"/>
    <col min="2052" max="2052" width="13.6640625" style="108" customWidth="1"/>
    <col min="2053" max="2053" width="14.33203125" style="108" customWidth="1"/>
    <col min="2054" max="2054" width="19.83203125" style="108" customWidth="1"/>
    <col min="2055" max="2055" width="10.33203125" style="108" customWidth="1"/>
    <col min="2056" max="2056" width="10" style="108" customWidth="1"/>
    <col min="2057" max="2057" width="22.33203125" style="108" customWidth="1"/>
    <col min="2058" max="2058" width="10.33203125" style="108" customWidth="1"/>
    <col min="2059" max="2059" width="22" style="108" customWidth="1"/>
    <col min="2060" max="2060" width="10.33203125" style="108" customWidth="1"/>
    <col min="2061" max="2061" width="15.83203125" style="108" customWidth="1"/>
    <col min="2062" max="2067" width="9.1640625" style="108" customWidth="1"/>
    <col min="2068" max="2068" width="51.5" style="108" customWidth="1"/>
    <col min="2069" max="2069" width="58.6640625" style="108" customWidth="1"/>
    <col min="2070" max="2070" width="53.6640625" style="108" customWidth="1"/>
    <col min="2071" max="2071" width="58.5" style="108" customWidth="1"/>
    <col min="2072" max="2072" width="95.5" style="108" customWidth="1"/>
    <col min="2073" max="2073" width="50.6640625" style="108" customWidth="1"/>
    <col min="2074" max="2074" width="10.6640625" style="108" customWidth="1"/>
    <col min="2075" max="2075" width="10.5" style="108" customWidth="1"/>
    <col min="2076" max="2305" width="8.6640625" style="108"/>
    <col min="2306" max="2306" width="5" style="108" customWidth="1"/>
    <col min="2307" max="2307" width="46.5" style="108" customWidth="1"/>
    <col min="2308" max="2308" width="13.6640625" style="108" customWidth="1"/>
    <col min="2309" max="2309" width="14.33203125" style="108" customWidth="1"/>
    <col min="2310" max="2310" width="19.83203125" style="108" customWidth="1"/>
    <col min="2311" max="2311" width="10.33203125" style="108" customWidth="1"/>
    <col min="2312" max="2312" width="10" style="108" customWidth="1"/>
    <col min="2313" max="2313" width="22.33203125" style="108" customWidth="1"/>
    <col min="2314" max="2314" width="10.33203125" style="108" customWidth="1"/>
    <col min="2315" max="2315" width="22" style="108" customWidth="1"/>
    <col min="2316" max="2316" width="10.33203125" style="108" customWidth="1"/>
    <col min="2317" max="2317" width="15.83203125" style="108" customWidth="1"/>
    <col min="2318" max="2323" width="9.1640625" style="108" customWidth="1"/>
    <col min="2324" max="2324" width="51.5" style="108" customWidth="1"/>
    <col min="2325" max="2325" width="58.6640625" style="108" customWidth="1"/>
    <col min="2326" max="2326" width="53.6640625" style="108" customWidth="1"/>
    <col min="2327" max="2327" width="58.5" style="108" customWidth="1"/>
    <col min="2328" max="2328" width="95.5" style="108" customWidth="1"/>
    <col min="2329" max="2329" width="50.6640625" style="108" customWidth="1"/>
    <col min="2330" max="2330" width="10.6640625" style="108" customWidth="1"/>
    <col min="2331" max="2331" width="10.5" style="108" customWidth="1"/>
    <col min="2332" max="2561" width="8.6640625" style="108"/>
    <col min="2562" max="2562" width="5" style="108" customWidth="1"/>
    <col min="2563" max="2563" width="46.5" style="108" customWidth="1"/>
    <col min="2564" max="2564" width="13.6640625" style="108" customWidth="1"/>
    <col min="2565" max="2565" width="14.33203125" style="108" customWidth="1"/>
    <col min="2566" max="2566" width="19.83203125" style="108" customWidth="1"/>
    <col min="2567" max="2567" width="10.33203125" style="108" customWidth="1"/>
    <col min="2568" max="2568" width="10" style="108" customWidth="1"/>
    <col min="2569" max="2569" width="22.33203125" style="108" customWidth="1"/>
    <col min="2570" max="2570" width="10.33203125" style="108" customWidth="1"/>
    <col min="2571" max="2571" width="22" style="108" customWidth="1"/>
    <col min="2572" max="2572" width="10.33203125" style="108" customWidth="1"/>
    <col min="2573" max="2573" width="15.83203125" style="108" customWidth="1"/>
    <col min="2574" max="2579" width="9.1640625" style="108" customWidth="1"/>
    <col min="2580" max="2580" width="51.5" style="108" customWidth="1"/>
    <col min="2581" max="2581" width="58.6640625" style="108" customWidth="1"/>
    <col min="2582" max="2582" width="53.6640625" style="108" customWidth="1"/>
    <col min="2583" max="2583" width="58.5" style="108" customWidth="1"/>
    <col min="2584" max="2584" width="95.5" style="108" customWidth="1"/>
    <col min="2585" max="2585" width="50.6640625" style="108" customWidth="1"/>
    <col min="2586" max="2586" width="10.6640625" style="108" customWidth="1"/>
    <col min="2587" max="2587" width="10.5" style="108" customWidth="1"/>
    <col min="2588" max="2817" width="8.6640625" style="108"/>
    <col min="2818" max="2818" width="5" style="108" customWidth="1"/>
    <col min="2819" max="2819" width="46.5" style="108" customWidth="1"/>
    <col min="2820" max="2820" width="13.6640625" style="108" customWidth="1"/>
    <col min="2821" max="2821" width="14.33203125" style="108" customWidth="1"/>
    <col min="2822" max="2822" width="19.83203125" style="108" customWidth="1"/>
    <col min="2823" max="2823" width="10.33203125" style="108" customWidth="1"/>
    <col min="2824" max="2824" width="10" style="108" customWidth="1"/>
    <col min="2825" max="2825" width="22.33203125" style="108" customWidth="1"/>
    <col min="2826" max="2826" width="10.33203125" style="108" customWidth="1"/>
    <col min="2827" max="2827" width="22" style="108" customWidth="1"/>
    <col min="2828" max="2828" width="10.33203125" style="108" customWidth="1"/>
    <col min="2829" max="2829" width="15.83203125" style="108" customWidth="1"/>
    <col min="2830" max="2835" width="9.1640625" style="108" customWidth="1"/>
    <col min="2836" max="2836" width="51.5" style="108" customWidth="1"/>
    <col min="2837" max="2837" width="58.6640625" style="108" customWidth="1"/>
    <col min="2838" max="2838" width="53.6640625" style="108" customWidth="1"/>
    <col min="2839" max="2839" width="58.5" style="108" customWidth="1"/>
    <col min="2840" max="2840" width="95.5" style="108" customWidth="1"/>
    <col min="2841" max="2841" width="50.6640625" style="108" customWidth="1"/>
    <col min="2842" max="2842" width="10.6640625" style="108" customWidth="1"/>
    <col min="2843" max="2843" width="10.5" style="108" customWidth="1"/>
    <col min="2844" max="3073" width="8.6640625" style="108"/>
    <col min="3074" max="3074" width="5" style="108" customWidth="1"/>
    <col min="3075" max="3075" width="46.5" style="108" customWidth="1"/>
    <col min="3076" max="3076" width="13.6640625" style="108" customWidth="1"/>
    <col min="3077" max="3077" width="14.33203125" style="108" customWidth="1"/>
    <col min="3078" max="3078" width="19.83203125" style="108" customWidth="1"/>
    <col min="3079" max="3079" width="10.33203125" style="108" customWidth="1"/>
    <col min="3080" max="3080" width="10" style="108" customWidth="1"/>
    <col min="3081" max="3081" width="22.33203125" style="108" customWidth="1"/>
    <col min="3082" max="3082" width="10.33203125" style="108" customWidth="1"/>
    <col min="3083" max="3083" width="22" style="108" customWidth="1"/>
    <col min="3084" max="3084" width="10.33203125" style="108" customWidth="1"/>
    <col min="3085" max="3085" width="15.83203125" style="108" customWidth="1"/>
    <col min="3086" max="3091" width="9.1640625" style="108" customWidth="1"/>
    <col min="3092" max="3092" width="51.5" style="108" customWidth="1"/>
    <col min="3093" max="3093" width="58.6640625" style="108" customWidth="1"/>
    <col min="3094" max="3094" width="53.6640625" style="108" customWidth="1"/>
    <col min="3095" max="3095" width="58.5" style="108" customWidth="1"/>
    <col min="3096" max="3096" width="95.5" style="108" customWidth="1"/>
    <col min="3097" max="3097" width="50.6640625" style="108" customWidth="1"/>
    <col min="3098" max="3098" width="10.6640625" style="108" customWidth="1"/>
    <col min="3099" max="3099" width="10.5" style="108" customWidth="1"/>
    <col min="3100" max="3329" width="8.6640625" style="108"/>
    <col min="3330" max="3330" width="5" style="108" customWidth="1"/>
    <col min="3331" max="3331" width="46.5" style="108" customWidth="1"/>
    <col min="3332" max="3332" width="13.6640625" style="108" customWidth="1"/>
    <col min="3333" max="3333" width="14.33203125" style="108" customWidth="1"/>
    <col min="3334" max="3334" width="19.83203125" style="108" customWidth="1"/>
    <col min="3335" max="3335" width="10.33203125" style="108" customWidth="1"/>
    <col min="3336" max="3336" width="10" style="108" customWidth="1"/>
    <col min="3337" max="3337" width="22.33203125" style="108" customWidth="1"/>
    <col min="3338" max="3338" width="10.33203125" style="108" customWidth="1"/>
    <col min="3339" max="3339" width="22" style="108" customWidth="1"/>
    <col min="3340" max="3340" width="10.33203125" style="108" customWidth="1"/>
    <col min="3341" max="3341" width="15.83203125" style="108" customWidth="1"/>
    <col min="3342" max="3347" width="9.1640625" style="108" customWidth="1"/>
    <col min="3348" max="3348" width="51.5" style="108" customWidth="1"/>
    <col min="3349" max="3349" width="58.6640625" style="108" customWidth="1"/>
    <col min="3350" max="3350" width="53.6640625" style="108" customWidth="1"/>
    <col min="3351" max="3351" width="58.5" style="108" customWidth="1"/>
    <col min="3352" max="3352" width="95.5" style="108" customWidth="1"/>
    <col min="3353" max="3353" width="50.6640625" style="108" customWidth="1"/>
    <col min="3354" max="3354" width="10.6640625" style="108" customWidth="1"/>
    <col min="3355" max="3355" width="10.5" style="108" customWidth="1"/>
    <col min="3356" max="3585" width="8.6640625" style="108"/>
    <col min="3586" max="3586" width="5" style="108" customWidth="1"/>
    <col min="3587" max="3587" width="46.5" style="108" customWidth="1"/>
    <col min="3588" max="3588" width="13.6640625" style="108" customWidth="1"/>
    <col min="3589" max="3589" width="14.33203125" style="108" customWidth="1"/>
    <col min="3590" max="3590" width="19.83203125" style="108" customWidth="1"/>
    <col min="3591" max="3591" width="10.33203125" style="108" customWidth="1"/>
    <col min="3592" max="3592" width="10" style="108" customWidth="1"/>
    <col min="3593" max="3593" width="22.33203125" style="108" customWidth="1"/>
    <col min="3594" max="3594" width="10.33203125" style="108" customWidth="1"/>
    <col min="3595" max="3595" width="22" style="108" customWidth="1"/>
    <col min="3596" max="3596" width="10.33203125" style="108" customWidth="1"/>
    <col min="3597" max="3597" width="15.83203125" style="108" customWidth="1"/>
    <col min="3598" max="3603" width="9.1640625" style="108" customWidth="1"/>
    <col min="3604" max="3604" width="51.5" style="108" customWidth="1"/>
    <col min="3605" max="3605" width="58.6640625" style="108" customWidth="1"/>
    <col min="3606" max="3606" width="53.6640625" style="108" customWidth="1"/>
    <col min="3607" max="3607" width="58.5" style="108" customWidth="1"/>
    <col min="3608" max="3608" width="95.5" style="108" customWidth="1"/>
    <col min="3609" max="3609" width="50.6640625" style="108" customWidth="1"/>
    <col min="3610" max="3610" width="10.6640625" style="108" customWidth="1"/>
    <col min="3611" max="3611" width="10.5" style="108" customWidth="1"/>
    <col min="3612" max="3841" width="8.6640625" style="108"/>
    <col min="3842" max="3842" width="5" style="108" customWidth="1"/>
    <col min="3843" max="3843" width="46.5" style="108" customWidth="1"/>
    <col min="3844" max="3844" width="13.6640625" style="108" customWidth="1"/>
    <col min="3845" max="3845" width="14.33203125" style="108" customWidth="1"/>
    <col min="3846" max="3846" width="19.83203125" style="108" customWidth="1"/>
    <col min="3847" max="3847" width="10.33203125" style="108" customWidth="1"/>
    <col min="3848" max="3848" width="10" style="108" customWidth="1"/>
    <col min="3849" max="3849" width="22.33203125" style="108" customWidth="1"/>
    <col min="3850" max="3850" width="10.33203125" style="108" customWidth="1"/>
    <col min="3851" max="3851" width="22" style="108" customWidth="1"/>
    <col min="3852" max="3852" width="10.33203125" style="108" customWidth="1"/>
    <col min="3853" max="3853" width="15.83203125" style="108" customWidth="1"/>
    <col min="3854" max="3859" width="9.1640625" style="108" customWidth="1"/>
    <col min="3860" max="3860" width="51.5" style="108" customWidth="1"/>
    <col min="3861" max="3861" width="58.6640625" style="108" customWidth="1"/>
    <col min="3862" max="3862" width="53.6640625" style="108" customWidth="1"/>
    <col min="3863" max="3863" width="58.5" style="108" customWidth="1"/>
    <col min="3864" max="3864" width="95.5" style="108" customWidth="1"/>
    <col min="3865" max="3865" width="50.6640625" style="108" customWidth="1"/>
    <col min="3866" max="3866" width="10.6640625" style="108" customWidth="1"/>
    <col min="3867" max="3867" width="10.5" style="108" customWidth="1"/>
    <col min="3868" max="4097" width="8.6640625" style="108"/>
    <col min="4098" max="4098" width="5" style="108" customWidth="1"/>
    <col min="4099" max="4099" width="46.5" style="108" customWidth="1"/>
    <col min="4100" max="4100" width="13.6640625" style="108" customWidth="1"/>
    <col min="4101" max="4101" width="14.33203125" style="108" customWidth="1"/>
    <col min="4102" max="4102" width="19.83203125" style="108" customWidth="1"/>
    <col min="4103" max="4103" width="10.33203125" style="108" customWidth="1"/>
    <col min="4104" max="4104" width="10" style="108" customWidth="1"/>
    <col min="4105" max="4105" width="22.33203125" style="108" customWidth="1"/>
    <col min="4106" max="4106" width="10.33203125" style="108" customWidth="1"/>
    <col min="4107" max="4107" width="22" style="108" customWidth="1"/>
    <col min="4108" max="4108" width="10.33203125" style="108" customWidth="1"/>
    <col min="4109" max="4109" width="15.83203125" style="108" customWidth="1"/>
    <col min="4110" max="4115" width="9.1640625" style="108" customWidth="1"/>
    <col min="4116" max="4116" width="51.5" style="108" customWidth="1"/>
    <col min="4117" max="4117" width="58.6640625" style="108" customWidth="1"/>
    <col min="4118" max="4118" width="53.6640625" style="108" customWidth="1"/>
    <col min="4119" max="4119" width="58.5" style="108" customWidth="1"/>
    <col min="4120" max="4120" width="95.5" style="108" customWidth="1"/>
    <col min="4121" max="4121" width="50.6640625" style="108" customWidth="1"/>
    <col min="4122" max="4122" width="10.6640625" style="108" customWidth="1"/>
    <col min="4123" max="4123" width="10.5" style="108" customWidth="1"/>
    <col min="4124" max="4353" width="8.6640625" style="108"/>
    <col min="4354" max="4354" width="5" style="108" customWidth="1"/>
    <col min="4355" max="4355" width="46.5" style="108" customWidth="1"/>
    <col min="4356" max="4356" width="13.6640625" style="108" customWidth="1"/>
    <col min="4357" max="4357" width="14.33203125" style="108" customWidth="1"/>
    <col min="4358" max="4358" width="19.83203125" style="108" customWidth="1"/>
    <col min="4359" max="4359" width="10.33203125" style="108" customWidth="1"/>
    <col min="4360" max="4360" width="10" style="108" customWidth="1"/>
    <col min="4361" max="4361" width="22.33203125" style="108" customWidth="1"/>
    <col min="4362" max="4362" width="10.33203125" style="108" customWidth="1"/>
    <col min="4363" max="4363" width="22" style="108" customWidth="1"/>
    <col min="4364" max="4364" width="10.33203125" style="108" customWidth="1"/>
    <col min="4365" max="4365" width="15.83203125" style="108" customWidth="1"/>
    <col min="4366" max="4371" width="9.1640625" style="108" customWidth="1"/>
    <col min="4372" max="4372" width="51.5" style="108" customWidth="1"/>
    <col min="4373" max="4373" width="58.6640625" style="108" customWidth="1"/>
    <col min="4374" max="4374" width="53.6640625" style="108" customWidth="1"/>
    <col min="4375" max="4375" width="58.5" style="108" customWidth="1"/>
    <col min="4376" max="4376" width="95.5" style="108" customWidth="1"/>
    <col min="4377" max="4377" width="50.6640625" style="108" customWidth="1"/>
    <col min="4378" max="4378" width="10.6640625" style="108" customWidth="1"/>
    <col min="4379" max="4379" width="10.5" style="108" customWidth="1"/>
    <col min="4380" max="4609" width="8.6640625" style="108"/>
    <col min="4610" max="4610" width="5" style="108" customWidth="1"/>
    <col min="4611" max="4611" width="46.5" style="108" customWidth="1"/>
    <col min="4612" max="4612" width="13.6640625" style="108" customWidth="1"/>
    <col min="4613" max="4613" width="14.33203125" style="108" customWidth="1"/>
    <col min="4614" max="4614" width="19.83203125" style="108" customWidth="1"/>
    <col min="4615" max="4615" width="10.33203125" style="108" customWidth="1"/>
    <col min="4616" max="4616" width="10" style="108" customWidth="1"/>
    <col min="4617" max="4617" width="22.33203125" style="108" customWidth="1"/>
    <col min="4618" max="4618" width="10.33203125" style="108" customWidth="1"/>
    <col min="4619" max="4619" width="22" style="108" customWidth="1"/>
    <col min="4620" max="4620" width="10.33203125" style="108" customWidth="1"/>
    <col min="4621" max="4621" width="15.83203125" style="108" customWidth="1"/>
    <col min="4622" max="4627" width="9.1640625" style="108" customWidth="1"/>
    <col min="4628" max="4628" width="51.5" style="108" customWidth="1"/>
    <col min="4629" max="4629" width="58.6640625" style="108" customWidth="1"/>
    <col min="4630" max="4630" width="53.6640625" style="108" customWidth="1"/>
    <col min="4631" max="4631" width="58.5" style="108" customWidth="1"/>
    <col min="4632" max="4632" width="95.5" style="108" customWidth="1"/>
    <col min="4633" max="4633" width="50.6640625" style="108" customWidth="1"/>
    <col min="4634" max="4634" width="10.6640625" style="108" customWidth="1"/>
    <col min="4635" max="4635" width="10.5" style="108" customWidth="1"/>
    <col min="4636" max="4865" width="8.6640625" style="108"/>
    <col min="4866" max="4866" width="5" style="108" customWidth="1"/>
    <col min="4867" max="4867" width="46.5" style="108" customWidth="1"/>
    <col min="4868" max="4868" width="13.6640625" style="108" customWidth="1"/>
    <col min="4869" max="4869" width="14.33203125" style="108" customWidth="1"/>
    <col min="4870" max="4870" width="19.83203125" style="108" customWidth="1"/>
    <col min="4871" max="4871" width="10.33203125" style="108" customWidth="1"/>
    <col min="4872" max="4872" width="10" style="108" customWidth="1"/>
    <col min="4873" max="4873" width="22.33203125" style="108" customWidth="1"/>
    <col min="4874" max="4874" width="10.33203125" style="108" customWidth="1"/>
    <col min="4875" max="4875" width="22" style="108" customWidth="1"/>
    <col min="4876" max="4876" width="10.33203125" style="108" customWidth="1"/>
    <col min="4877" max="4877" width="15.83203125" style="108" customWidth="1"/>
    <col min="4878" max="4883" width="9.1640625" style="108" customWidth="1"/>
    <col min="4884" max="4884" width="51.5" style="108" customWidth="1"/>
    <col min="4885" max="4885" width="58.6640625" style="108" customWidth="1"/>
    <col min="4886" max="4886" width="53.6640625" style="108" customWidth="1"/>
    <col min="4887" max="4887" width="58.5" style="108" customWidth="1"/>
    <col min="4888" max="4888" width="95.5" style="108" customWidth="1"/>
    <col min="4889" max="4889" width="50.6640625" style="108" customWidth="1"/>
    <col min="4890" max="4890" width="10.6640625" style="108" customWidth="1"/>
    <col min="4891" max="4891" width="10.5" style="108" customWidth="1"/>
    <col min="4892" max="5121" width="8.6640625" style="108"/>
    <col min="5122" max="5122" width="5" style="108" customWidth="1"/>
    <col min="5123" max="5123" width="46.5" style="108" customWidth="1"/>
    <col min="5124" max="5124" width="13.6640625" style="108" customWidth="1"/>
    <col min="5125" max="5125" width="14.33203125" style="108" customWidth="1"/>
    <col min="5126" max="5126" width="19.83203125" style="108" customWidth="1"/>
    <col min="5127" max="5127" width="10.33203125" style="108" customWidth="1"/>
    <col min="5128" max="5128" width="10" style="108" customWidth="1"/>
    <col min="5129" max="5129" width="22.33203125" style="108" customWidth="1"/>
    <col min="5130" max="5130" width="10.33203125" style="108" customWidth="1"/>
    <col min="5131" max="5131" width="22" style="108" customWidth="1"/>
    <col min="5132" max="5132" width="10.33203125" style="108" customWidth="1"/>
    <col min="5133" max="5133" width="15.83203125" style="108" customWidth="1"/>
    <col min="5134" max="5139" width="9.1640625" style="108" customWidth="1"/>
    <col min="5140" max="5140" width="51.5" style="108" customWidth="1"/>
    <col min="5141" max="5141" width="58.6640625" style="108" customWidth="1"/>
    <col min="5142" max="5142" width="53.6640625" style="108" customWidth="1"/>
    <col min="5143" max="5143" width="58.5" style="108" customWidth="1"/>
    <col min="5144" max="5144" width="95.5" style="108" customWidth="1"/>
    <col min="5145" max="5145" width="50.6640625" style="108" customWidth="1"/>
    <col min="5146" max="5146" width="10.6640625" style="108" customWidth="1"/>
    <col min="5147" max="5147" width="10.5" style="108" customWidth="1"/>
    <col min="5148" max="5377" width="8.6640625" style="108"/>
    <col min="5378" max="5378" width="5" style="108" customWidth="1"/>
    <col min="5379" max="5379" width="46.5" style="108" customWidth="1"/>
    <col min="5380" max="5380" width="13.6640625" style="108" customWidth="1"/>
    <col min="5381" max="5381" width="14.33203125" style="108" customWidth="1"/>
    <col min="5382" max="5382" width="19.83203125" style="108" customWidth="1"/>
    <col min="5383" max="5383" width="10.33203125" style="108" customWidth="1"/>
    <col min="5384" max="5384" width="10" style="108" customWidth="1"/>
    <col min="5385" max="5385" width="22.33203125" style="108" customWidth="1"/>
    <col min="5386" max="5386" width="10.33203125" style="108" customWidth="1"/>
    <col min="5387" max="5387" width="22" style="108" customWidth="1"/>
    <col min="5388" max="5388" width="10.33203125" style="108" customWidth="1"/>
    <col min="5389" max="5389" width="15.83203125" style="108" customWidth="1"/>
    <col min="5390" max="5395" width="9.1640625" style="108" customWidth="1"/>
    <col min="5396" max="5396" width="51.5" style="108" customWidth="1"/>
    <col min="5397" max="5397" width="58.6640625" style="108" customWidth="1"/>
    <col min="5398" max="5398" width="53.6640625" style="108" customWidth="1"/>
    <col min="5399" max="5399" width="58.5" style="108" customWidth="1"/>
    <col min="5400" max="5400" width="95.5" style="108" customWidth="1"/>
    <col min="5401" max="5401" width="50.6640625" style="108" customWidth="1"/>
    <col min="5402" max="5402" width="10.6640625" style="108" customWidth="1"/>
    <col min="5403" max="5403" width="10.5" style="108" customWidth="1"/>
    <col min="5404" max="5633" width="8.6640625" style="108"/>
    <col min="5634" max="5634" width="5" style="108" customWidth="1"/>
    <col min="5635" max="5635" width="46.5" style="108" customWidth="1"/>
    <col min="5636" max="5636" width="13.6640625" style="108" customWidth="1"/>
    <col min="5637" max="5637" width="14.33203125" style="108" customWidth="1"/>
    <col min="5638" max="5638" width="19.83203125" style="108" customWidth="1"/>
    <col min="5639" max="5639" width="10.33203125" style="108" customWidth="1"/>
    <col min="5640" max="5640" width="10" style="108" customWidth="1"/>
    <col min="5641" max="5641" width="22.33203125" style="108" customWidth="1"/>
    <col min="5642" max="5642" width="10.33203125" style="108" customWidth="1"/>
    <col min="5643" max="5643" width="22" style="108" customWidth="1"/>
    <col min="5644" max="5644" width="10.33203125" style="108" customWidth="1"/>
    <col min="5645" max="5645" width="15.83203125" style="108" customWidth="1"/>
    <col min="5646" max="5651" width="9.1640625" style="108" customWidth="1"/>
    <col min="5652" max="5652" width="51.5" style="108" customWidth="1"/>
    <col min="5653" max="5653" width="58.6640625" style="108" customWidth="1"/>
    <col min="5654" max="5654" width="53.6640625" style="108" customWidth="1"/>
    <col min="5655" max="5655" width="58.5" style="108" customWidth="1"/>
    <col min="5656" max="5656" width="95.5" style="108" customWidth="1"/>
    <col min="5657" max="5657" width="50.6640625" style="108" customWidth="1"/>
    <col min="5658" max="5658" width="10.6640625" style="108" customWidth="1"/>
    <col min="5659" max="5659" width="10.5" style="108" customWidth="1"/>
    <col min="5660" max="5889" width="8.6640625" style="108"/>
    <col min="5890" max="5890" width="5" style="108" customWidth="1"/>
    <col min="5891" max="5891" width="46.5" style="108" customWidth="1"/>
    <col min="5892" max="5892" width="13.6640625" style="108" customWidth="1"/>
    <col min="5893" max="5893" width="14.33203125" style="108" customWidth="1"/>
    <col min="5894" max="5894" width="19.83203125" style="108" customWidth="1"/>
    <col min="5895" max="5895" width="10.33203125" style="108" customWidth="1"/>
    <col min="5896" max="5896" width="10" style="108" customWidth="1"/>
    <col min="5897" max="5897" width="22.33203125" style="108" customWidth="1"/>
    <col min="5898" max="5898" width="10.33203125" style="108" customWidth="1"/>
    <col min="5899" max="5899" width="22" style="108" customWidth="1"/>
    <col min="5900" max="5900" width="10.33203125" style="108" customWidth="1"/>
    <col min="5901" max="5901" width="15.83203125" style="108" customWidth="1"/>
    <col min="5902" max="5907" width="9.1640625" style="108" customWidth="1"/>
    <col min="5908" max="5908" width="51.5" style="108" customWidth="1"/>
    <col min="5909" max="5909" width="58.6640625" style="108" customWidth="1"/>
    <col min="5910" max="5910" width="53.6640625" style="108" customWidth="1"/>
    <col min="5911" max="5911" width="58.5" style="108" customWidth="1"/>
    <col min="5912" max="5912" width="95.5" style="108" customWidth="1"/>
    <col min="5913" max="5913" width="50.6640625" style="108" customWidth="1"/>
    <col min="5914" max="5914" width="10.6640625" style="108" customWidth="1"/>
    <col min="5915" max="5915" width="10.5" style="108" customWidth="1"/>
    <col min="5916" max="6145" width="8.6640625" style="108"/>
    <col min="6146" max="6146" width="5" style="108" customWidth="1"/>
    <col min="6147" max="6147" width="46.5" style="108" customWidth="1"/>
    <col min="6148" max="6148" width="13.6640625" style="108" customWidth="1"/>
    <col min="6149" max="6149" width="14.33203125" style="108" customWidth="1"/>
    <col min="6150" max="6150" width="19.83203125" style="108" customWidth="1"/>
    <col min="6151" max="6151" width="10.33203125" style="108" customWidth="1"/>
    <col min="6152" max="6152" width="10" style="108" customWidth="1"/>
    <col min="6153" max="6153" width="22.33203125" style="108" customWidth="1"/>
    <col min="6154" max="6154" width="10.33203125" style="108" customWidth="1"/>
    <col min="6155" max="6155" width="22" style="108" customWidth="1"/>
    <col min="6156" max="6156" width="10.33203125" style="108" customWidth="1"/>
    <col min="6157" max="6157" width="15.83203125" style="108" customWidth="1"/>
    <col min="6158" max="6163" width="9.1640625" style="108" customWidth="1"/>
    <col min="6164" max="6164" width="51.5" style="108" customWidth="1"/>
    <col min="6165" max="6165" width="58.6640625" style="108" customWidth="1"/>
    <col min="6166" max="6166" width="53.6640625" style="108" customWidth="1"/>
    <col min="6167" max="6167" width="58.5" style="108" customWidth="1"/>
    <col min="6168" max="6168" width="95.5" style="108" customWidth="1"/>
    <col min="6169" max="6169" width="50.6640625" style="108" customWidth="1"/>
    <col min="6170" max="6170" width="10.6640625" style="108" customWidth="1"/>
    <col min="6171" max="6171" width="10.5" style="108" customWidth="1"/>
    <col min="6172" max="6401" width="8.6640625" style="108"/>
    <col min="6402" max="6402" width="5" style="108" customWidth="1"/>
    <col min="6403" max="6403" width="46.5" style="108" customWidth="1"/>
    <col min="6404" max="6404" width="13.6640625" style="108" customWidth="1"/>
    <col min="6405" max="6405" width="14.33203125" style="108" customWidth="1"/>
    <col min="6406" max="6406" width="19.83203125" style="108" customWidth="1"/>
    <col min="6407" max="6407" width="10.33203125" style="108" customWidth="1"/>
    <col min="6408" max="6408" width="10" style="108" customWidth="1"/>
    <col min="6409" max="6409" width="22.33203125" style="108" customWidth="1"/>
    <col min="6410" max="6410" width="10.33203125" style="108" customWidth="1"/>
    <col min="6411" max="6411" width="22" style="108" customWidth="1"/>
    <col min="6412" max="6412" width="10.33203125" style="108" customWidth="1"/>
    <col min="6413" max="6413" width="15.83203125" style="108" customWidth="1"/>
    <col min="6414" max="6419" width="9.1640625" style="108" customWidth="1"/>
    <col min="6420" max="6420" width="51.5" style="108" customWidth="1"/>
    <col min="6421" max="6421" width="58.6640625" style="108" customWidth="1"/>
    <col min="6422" max="6422" width="53.6640625" style="108" customWidth="1"/>
    <col min="6423" max="6423" width="58.5" style="108" customWidth="1"/>
    <col min="6424" max="6424" width="95.5" style="108" customWidth="1"/>
    <col min="6425" max="6425" width="50.6640625" style="108" customWidth="1"/>
    <col min="6426" max="6426" width="10.6640625" style="108" customWidth="1"/>
    <col min="6427" max="6427" width="10.5" style="108" customWidth="1"/>
    <col min="6428" max="6657" width="8.6640625" style="108"/>
    <col min="6658" max="6658" width="5" style="108" customWidth="1"/>
    <col min="6659" max="6659" width="46.5" style="108" customWidth="1"/>
    <col min="6660" max="6660" width="13.6640625" style="108" customWidth="1"/>
    <col min="6661" max="6661" width="14.33203125" style="108" customWidth="1"/>
    <col min="6662" max="6662" width="19.83203125" style="108" customWidth="1"/>
    <col min="6663" max="6663" width="10.33203125" style="108" customWidth="1"/>
    <col min="6664" max="6664" width="10" style="108" customWidth="1"/>
    <col min="6665" max="6665" width="22.33203125" style="108" customWidth="1"/>
    <col min="6666" max="6666" width="10.33203125" style="108" customWidth="1"/>
    <col min="6667" max="6667" width="22" style="108" customWidth="1"/>
    <col min="6668" max="6668" width="10.33203125" style="108" customWidth="1"/>
    <col min="6669" max="6669" width="15.83203125" style="108" customWidth="1"/>
    <col min="6670" max="6675" width="9.1640625" style="108" customWidth="1"/>
    <col min="6676" max="6676" width="51.5" style="108" customWidth="1"/>
    <col min="6677" max="6677" width="58.6640625" style="108" customWidth="1"/>
    <col min="6678" max="6678" width="53.6640625" style="108" customWidth="1"/>
    <col min="6679" max="6679" width="58.5" style="108" customWidth="1"/>
    <col min="6680" max="6680" width="95.5" style="108" customWidth="1"/>
    <col min="6681" max="6681" width="50.6640625" style="108" customWidth="1"/>
    <col min="6682" max="6682" width="10.6640625" style="108" customWidth="1"/>
    <col min="6683" max="6683" width="10.5" style="108" customWidth="1"/>
    <col min="6684" max="6913" width="8.6640625" style="108"/>
    <col min="6914" max="6914" width="5" style="108" customWidth="1"/>
    <col min="6915" max="6915" width="46.5" style="108" customWidth="1"/>
    <col min="6916" max="6916" width="13.6640625" style="108" customWidth="1"/>
    <col min="6917" max="6917" width="14.33203125" style="108" customWidth="1"/>
    <col min="6918" max="6918" width="19.83203125" style="108" customWidth="1"/>
    <col min="6919" max="6919" width="10.33203125" style="108" customWidth="1"/>
    <col min="6920" max="6920" width="10" style="108" customWidth="1"/>
    <col min="6921" max="6921" width="22.33203125" style="108" customWidth="1"/>
    <col min="6922" max="6922" width="10.33203125" style="108" customWidth="1"/>
    <col min="6923" max="6923" width="22" style="108" customWidth="1"/>
    <col min="6924" max="6924" width="10.33203125" style="108" customWidth="1"/>
    <col min="6925" max="6925" width="15.83203125" style="108" customWidth="1"/>
    <col min="6926" max="6931" width="9.1640625" style="108" customWidth="1"/>
    <col min="6932" max="6932" width="51.5" style="108" customWidth="1"/>
    <col min="6933" max="6933" width="58.6640625" style="108" customWidth="1"/>
    <col min="6934" max="6934" width="53.6640625" style="108" customWidth="1"/>
    <col min="6935" max="6935" width="58.5" style="108" customWidth="1"/>
    <col min="6936" max="6936" width="95.5" style="108" customWidth="1"/>
    <col min="6937" max="6937" width="50.6640625" style="108" customWidth="1"/>
    <col min="6938" max="6938" width="10.6640625" style="108" customWidth="1"/>
    <col min="6939" max="6939" width="10.5" style="108" customWidth="1"/>
    <col min="6940" max="7169" width="8.6640625" style="108"/>
    <col min="7170" max="7170" width="5" style="108" customWidth="1"/>
    <col min="7171" max="7171" width="46.5" style="108" customWidth="1"/>
    <col min="7172" max="7172" width="13.6640625" style="108" customWidth="1"/>
    <col min="7173" max="7173" width="14.33203125" style="108" customWidth="1"/>
    <col min="7174" max="7174" width="19.83203125" style="108" customWidth="1"/>
    <col min="7175" max="7175" width="10.33203125" style="108" customWidth="1"/>
    <col min="7176" max="7176" width="10" style="108" customWidth="1"/>
    <col min="7177" max="7177" width="22.33203125" style="108" customWidth="1"/>
    <col min="7178" max="7178" width="10.33203125" style="108" customWidth="1"/>
    <col min="7179" max="7179" width="22" style="108" customWidth="1"/>
    <col min="7180" max="7180" width="10.33203125" style="108" customWidth="1"/>
    <col min="7181" max="7181" width="15.83203125" style="108" customWidth="1"/>
    <col min="7182" max="7187" width="9.1640625" style="108" customWidth="1"/>
    <col min="7188" max="7188" width="51.5" style="108" customWidth="1"/>
    <col min="7189" max="7189" width="58.6640625" style="108" customWidth="1"/>
    <col min="7190" max="7190" width="53.6640625" style="108" customWidth="1"/>
    <col min="7191" max="7191" width="58.5" style="108" customWidth="1"/>
    <col min="7192" max="7192" width="95.5" style="108" customWidth="1"/>
    <col min="7193" max="7193" width="50.6640625" style="108" customWidth="1"/>
    <col min="7194" max="7194" width="10.6640625" style="108" customWidth="1"/>
    <col min="7195" max="7195" width="10.5" style="108" customWidth="1"/>
    <col min="7196" max="7425" width="8.6640625" style="108"/>
    <col min="7426" max="7426" width="5" style="108" customWidth="1"/>
    <col min="7427" max="7427" width="46.5" style="108" customWidth="1"/>
    <col min="7428" max="7428" width="13.6640625" style="108" customWidth="1"/>
    <col min="7429" max="7429" width="14.33203125" style="108" customWidth="1"/>
    <col min="7430" max="7430" width="19.83203125" style="108" customWidth="1"/>
    <col min="7431" max="7431" width="10.33203125" style="108" customWidth="1"/>
    <col min="7432" max="7432" width="10" style="108" customWidth="1"/>
    <col min="7433" max="7433" width="22.33203125" style="108" customWidth="1"/>
    <col min="7434" max="7434" width="10.33203125" style="108" customWidth="1"/>
    <col min="7435" max="7435" width="22" style="108" customWidth="1"/>
    <col min="7436" max="7436" width="10.33203125" style="108" customWidth="1"/>
    <col min="7437" max="7437" width="15.83203125" style="108" customWidth="1"/>
    <col min="7438" max="7443" width="9.1640625" style="108" customWidth="1"/>
    <col min="7444" max="7444" width="51.5" style="108" customWidth="1"/>
    <col min="7445" max="7445" width="58.6640625" style="108" customWidth="1"/>
    <col min="7446" max="7446" width="53.6640625" style="108" customWidth="1"/>
    <col min="7447" max="7447" width="58.5" style="108" customWidth="1"/>
    <col min="7448" max="7448" width="95.5" style="108" customWidth="1"/>
    <col min="7449" max="7449" width="50.6640625" style="108" customWidth="1"/>
    <col min="7450" max="7450" width="10.6640625" style="108" customWidth="1"/>
    <col min="7451" max="7451" width="10.5" style="108" customWidth="1"/>
    <col min="7452" max="7681" width="8.6640625" style="108"/>
    <col min="7682" max="7682" width="5" style="108" customWidth="1"/>
    <col min="7683" max="7683" width="46.5" style="108" customWidth="1"/>
    <col min="7684" max="7684" width="13.6640625" style="108" customWidth="1"/>
    <col min="7685" max="7685" width="14.33203125" style="108" customWidth="1"/>
    <col min="7686" max="7686" width="19.83203125" style="108" customWidth="1"/>
    <col min="7687" max="7687" width="10.33203125" style="108" customWidth="1"/>
    <col min="7688" max="7688" width="10" style="108" customWidth="1"/>
    <col min="7689" max="7689" width="22.33203125" style="108" customWidth="1"/>
    <col min="7690" max="7690" width="10.33203125" style="108" customWidth="1"/>
    <col min="7691" max="7691" width="22" style="108" customWidth="1"/>
    <col min="7692" max="7692" width="10.33203125" style="108" customWidth="1"/>
    <col min="7693" max="7693" width="15.83203125" style="108" customWidth="1"/>
    <col min="7694" max="7699" width="9.1640625" style="108" customWidth="1"/>
    <col min="7700" max="7700" width="51.5" style="108" customWidth="1"/>
    <col min="7701" max="7701" width="58.6640625" style="108" customWidth="1"/>
    <col min="7702" max="7702" width="53.6640625" style="108" customWidth="1"/>
    <col min="7703" max="7703" width="58.5" style="108" customWidth="1"/>
    <col min="7704" max="7704" width="95.5" style="108" customWidth="1"/>
    <col min="7705" max="7705" width="50.6640625" style="108" customWidth="1"/>
    <col min="7706" max="7706" width="10.6640625" style="108" customWidth="1"/>
    <col min="7707" max="7707" width="10.5" style="108" customWidth="1"/>
    <col min="7708" max="7937" width="8.6640625" style="108"/>
    <col min="7938" max="7938" width="5" style="108" customWidth="1"/>
    <col min="7939" max="7939" width="46.5" style="108" customWidth="1"/>
    <col min="7940" max="7940" width="13.6640625" style="108" customWidth="1"/>
    <col min="7941" max="7941" width="14.33203125" style="108" customWidth="1"/>
    <col min="7942" max="7942" width="19.83203125" style="108" customWidth="1"/>
    <col min="7943" max="7943" width="10.33203125" style="108" customWidth="1"/>
    <col min="7944" max="7944" width="10" style="108" customWidth="1"/>
    <col min="7945" max="7945" width="22.33203125" style="108" customWidth="1"/>
    <col min="7946" max="7946" width="10.33203125" style="108" customWidth="1"/>
    <col min="7947" max="7947" width="22" style="108" customWidth="1"/>
    <col min="7948" max="7948" width="10.33203125" style="108" customWidth="1"/>
    <col min="7949" max="7949" width="15.83203125" style="108" customWidth="1"/>
    <col min="7950" max="7955" width="9.1640625" style="108" customWidth="1"/>
    <col min="7956" max="7956" width="51.5" style="108" customWidth="1"/>
    <col min="7957" max="7957" width="58.6640625" style="108" customWidth="1"/>
    <col min="7958" max="7958" width="53.6640625" style="108" customWidth="1"/>
    <col min="7959" max="7959" width="58.5" style="108" customWidth="1"/>
    <col min="7960" max="7960" width="95.5" style="108" customWidth="1"/>
    <col min="7961" max="7961" width="50.6640625" style="108" customWidth="1"/>
    <col min="7962" max="7962" width="10.6640625" style="108" customWidth="1"/>
    <col min="7963" max="7963" width="10.5" style="108" customWidth="1"/>
    <col min="7964" max="8193" width="8.6640625" style="108"/>
    <col min="8194" max="8194" width="5" style="108" customWidth="1"/>
    <col min="8195" max="8195" width="46.5" style="108" customWidth="1"/>
    <col min="8196" max="8196" width="13.6640625" style="108" customWidth="1"/>
    <col min="8197" max="8197" width="14.33203125" style="108" customWidth="1"/>
    <col min="8198" max="8198" width="19.83203125" style="108" customWidth="1"/>
    <col min="8199" max="8199" width="10.33203125" style="108" customWidth="1"/>
    <col min="8200" max="8200" width="10" style="108" customWidth="1"/>
    <col min="8201" max="8201" width="22.33203125" style="108" customWidth="1"/>
    <col min="8202" max="8202" width="10.33203125" style="108" customWidth="1"/>
    <col min="8203" max="8203" width="22" style="108" customWidth="1"/>
    <col min="8204" max="8204" width="10.33203125" style="108" customWidth="1"/>
    <col min="8205" max="8205" width="15.83203125" style="108" customWidth="1"/>
    <col min="8206" max="8211" width="9.1640625" style="108" customWidth="1"/>
    <col min="8212" max="8212" width="51.5" style="108" customWidth="1"/>
    <col min="8213" max="8213" width="58.6640625" style="108" customWidth="1"/>
    <col min="8214" max="8214" width="53.6640625" style="108" customWidth="1"/>
    <col min="8215" max="8215" width="58.5" style="108" customWidth="1"/>
    <col min="8216" max="8216" width="95.5" style="108" customWidth="1"/>
    <col min="8217" max="8217" width="50.6640625" style="108" customWidth="1"/>
    <col min="8218" max="8218" width="10.6640625" style="108" customWidth="1"/>
    <col min="8219" max="8219" width="10.5" style="108" customWidth="1"/>
    <col min="8220" max="8449" width="8.6640625" style="108"/>
    <col min="8450" max="8450" width="5" style="108" customWidth="1"/>
    <col min="8451" max="8451" width="46.5" style="108" customWidth="1"/>
    <col min="8452" max="8452" width="13.6640625" style="108" customWidth="1"/>
    <col min="8453" max="8453" width="14.33203125" style="108" customWidth="1"/>
    <col min="8454" max="8454" width="19.83203125" style="108" customWidth="1"/>
    <col min="8455" max="8455" width="10.33203125" style="108" customWidth="1"/>
    <col min="8456" max="8456" width="10" style="108" customWidth="1"/>
    <col min="8457" max="8457" width="22.33203125" style="108" customWidth="1"/>
    <col min="8458" max="8458" width="10.33203125" style="108" customWidth="1"/>
    <col min="8459" max="8459" width="22" style="108" customWidth="1"/>
    <col min="8460" max="8460" width="10.33203125" style="108" customWidth="1"/>
    <col min="8461" max="8461" width="15.83203125" style="108" customWidth="1"/>
    <col min="8462" max="8467" width="9.1640625" style="108" customWidth="1"/>
    <col min="8468" max="8468" width="51.5" style="108" customWidth="1"/>
    <col min="8469" max="8469" width="58.6640625" style="108" customWidth="1"/>
    <col min="8470" max="8470" width="53.6640625" style="108" customWidth="1"/>
    <col min="8471" max="8471" width="58.5" style="108" customWidth="1"/>
    <col min="8472" max="8472" width="95.5" style="108" customWidth="1"/>
    <col min="8473" max="8473" width="50.6640625" style="108" customWidth="1"/>
    <col min="8474" max="8474" width="10.6640625" style="108" customWidth="1"/>
    <col min="8475" max="8475" width="10.5" style="108" customWidth="1"/>
    <col min="8476" max="8705" width="8.6640625" style="108"/>
    <col min="8706" max="8706" width="5" style="108" customWidth="1"/>
    <col min="8707" max="8707" width="46.5" style="108" customWidth="1"/>
    <col min="8708" max="8708" width="13.6640625" style="108" customWidth="1"/>
    <col min="8709" max="8709" width="14.33203125" style="108" customWidth="1"/>
    <col min="8710" max="8710" width="19.83203125" style="108" customWidth="1"/>
    <col min="8711" max="8711" width="10.33203125" style="108" customWidth="1"/>
    <col min="8712" max="8712" width="10" style="108" customWidth="1"/>
    <col min="8713" max="8713" width="22.33203125" style="108" customWidth="1"/>
    <col min="8714" max="8714" width="10.33203125" style="108" customWidth="1"/>
    <col min="8715" max="8715" width="22" style="108" customWidth="1"/>
    <col min="8716" max="8716" width="10.33203125" style="108" customWidth="1"/>
    <col min="8717" max="8717" width="15.83203125" style="108" customWidth="1"/>
    <col min="8718" max="8723" width="9.1640625" style="108" customWidth="1"/>
    <col min="8724" max="8724" width="51.5" style="108" customWidth="1"/>
    <col min="8725" max="8725" width="58.6640625" style="108" customWidth="1"/>
    <col min="8726" max="8726" width="53.6640625" style="108" customWidth="1"/>
    <col min="8727" max="8727" width="58.5" style="108" customWidth="1"/>
    <col min="8728" max="8728" width="95.5" style="108" customWidth="1"/>
    <col min="8729" max="8729" width="50.6640625" style="108" customWidth="1"/>
    <col min="8730" max="8730" width="10.6640625" style="108" customWidth="1"/>
    <col min="8731" max="8731" width="10.5" style="108" customWidth="1"/>
    <col min="8732" max="8961" width="8.6640625" style="108"/>
    <col min="8962" max="8962" width="5" style="108" customWidth="1"/>
    <col min="8963" max="8963" width="46.5" style="108" customWidth="1"/>
    <col min="8964" max="8964" width="13.6640625" style="108" customWidth="1"/>
    <col min="8965" max="8965" width="14.33203125" style="108" customWidth="1"/>
    <col min="8966" max="8966" width="19.83203125" style="108" customWidth="1"/>
    <col min="8967" max="8967" width="10.33203125" style="108" customWidth="1"/>
    <col min="8968" max="8968" width="10" style="108" customWidth="1"/>
    <col min="8969" max="8969" width="22.33203125" style="108" customWidth="1"/>
    <col min="8970" max="8970" width="10.33203125" style="108" customWidth="1"/>
    <col min="8971" max="8971" width="22" style="108" customWidth="1"/>
    <col min="8972" max="8972" width="10.33203125" style="108" customWidth="1"/>
    <col min="8973" max="8973" width="15.83203125" style="108" customWidth="1"/>
    <col min="8974" max="8979" width="9.1640625" style="108" customWidth="1"/>
    <col min="8980" max="8980" width="51.5" style="108" customWidth="1"/>
    <col min="8981" max="8981" width="58.6640625" style="108" customWidth="1"/>
    <col min="8982" max="8982" width="53.6640625" style="108" customWidth="1"/>
    <col min="8983" max="8983" width="58.5" style="108" customWidth="1"/>
    <col min="8984" max="8984" width="95.5" style="108" customWidth="1"/>
    <col min="8985" max="8985" width="50.6640625" style="108" customWidth="1"/>
    <col min="8986" max="8986" width="10.6640625" style="108" customWidth="1"/>
    <col min="8987" max="8987" width="10.5" style="108" customWidth="1"/>
    <col min="8988" max="9217" width="8.6640625" style="108"/>
    <col min="9218" max="9218" width="5" style="108" customWidth="1"/>
    <col min="9219" max="9219" width="46.5" style="108" customWidth="1"/>
    <col min="9220" max="9220" width="13.6640625" style="108" customWidth="1"/>
    <col min="9221" max="9221" width="14.33203125" style="108" customWidth="1"/>
    <col min="9222" max="9222" width="19.83203125" style="108" customWidth="1"/>
    <col min="9223" max="9223" width="10.33203125" style="108" customWidth="1"/>
    <col min="9224" max="9224" width="10" style="108" customWidth="1"/>
    <col min="9225" max="9225" width="22.33203125" style="108" customWidth="1"/>
    <col min="9226" max="9226" width="10.33203125" style="108" customWidth="1"/>
    <col min="9227" max="9227" width="22" style="108" customWidth="1"/>
    <col min="9228" max="9228" width="10.33203125" style="108" customWidth="1"/>
    <col min="9229" max="9229" width="15.83203125" style="108" customWidth="1"/>
    <col min="9230" max="9235" width="9.1640625" style="108" customWidth="1"/>
    <col min="9236" max="9236" width="51.5" style="108" customWidth="1"/>
    <col min="9237" max="9237" width="58.6640625" style="108" customWidth="1"/>
    <col min="9238" max="9238" width="53.6640625" style="108" customWidth="1"/>
    <col min="9239" max="9239" width="58.5" style="108" customWidth="1"/>
    <col min="9240" max="9240" width="95.5" style="108" customWidth="1"/>
    <col min="9241" max="9241" width="50.6640625" style="108" customWidth="1"/>
    <col min="9242" max="9242" width="10.6640625" style="108" customWidth="1"/>
    <col min="9243" max="9243" width="10.5" style="108" customWidth="1"/>
    <col min="9244" max="9473" width="8.6640625" style="108"/>
    <col min="9474" max="9474" width="5" style="108" customWidth="1"/>
    <col min="9475" max="9475" width="46.5" style="108" customWidth="1"/>
    <col min="9476" max="9476" width="13.6640625" style="108" customWidth="1"/>
    <col min="9477" max="9477" width="14.33203125" style="108" customWidth="1"/>
    <col min="9478" max="9478" width="19.83203125" style="108" customWidth="1"/>
    <col min="9479" max="9479" width="10.33203125" style="108" customWidth="1"/>
    <col min="9480" max="9480" width="10" style="108" customWidth="1"/>
    <col min="9481" max="9481" width="22.33203125" style="108" customWidth="1"/>
    <col min="9482" max="9482" width="10.33203125" style="108" customWidth="1"/>
    <col min="9483" max="9483" width="22" style="108" customWidth="1"/>
    <col min="9484" max="9484" width="10.33203125" style="108" customWidth="1"/>
    <col min="9485" max="9485" width="15.83203125" style="108" customWidth="1"/>
    <col min="9486" max="9491" width="9.1640625" style="108" customWidth="1"/>
    <col min="9492" max="9492" width="51.5" style="108" customWidth="1"/>
    <col min="9493" max="9493" width="58.6640625" style="108" customWidth="1"/>
    <col min="9494" max="9494" width="53.6640625" style="108" customWidth="1"/>
    <col min="9495" max="9495" width="58.5" style="108" customWidth="1"/>
    <col min="9496" max="9496" width="95.5" style="108" customWidth="1"/>
    <col min="9497" max="9497" width="50.6640625" style="108" customWidth="1"/>
    <col min="9498" max="9498" width="10.6640625" style="108" customWidth="1"/>
    <col min="9499" max="9499" width="10.5" style="108" customWidth="1"/>
    <col min="9500" max="9729" width="8.6640625" style="108"/>
    <col min="9730" max="9730" width="5" style="108" customWidth="1"/>
    <col min="9731" max="9731" width="46.5" style="108" customWidth="1"/>
    <col min="9732" max="9732" width="13.6640625" style="108" customWidth="1"/>
    <col min="9733" max="9733" width="14.33203125" style="108" customWidth="1"/>
    <col min="9734" max="9734" width="19.83203125" style="108" customWidth="1"/>
    <col min="9735" max="9735" width="10.33203125" style="108" customWidth="1"/>
    <col min="9736" max="9736" width="10" style="108" customWidth="1"/>
    <col min="9737" max="9737" width="22.33203125" style="108" customWidth="1"/>
    <col min="9738" max="9738" width="10.33203125" style="108" customWidth="1"/>
    <col min="9739" max="9739" width="22" style="108" customWidth="1"/>
    <col min="9740" max="9740" width="10.33203125" style="108" customWidth="1"/>
    <col min="9741" max="9741" width="15.83203125" style="108" customWidth="1"/>
    <col min="9742" max="9747" width="9.1640625" style="108" customWidth="1"/>
    <col min="9748" max="9748" width="51.5" style="108" customWidth="1"/>
    <col min="9749" max="9749" width="58.6640625" style="108" customWidth="1"/>
    <col min="9750" max="9750" width="53.6640625" style="108" customWidth="1"/>
    <col min="9751" max="9751" width="58.5" style="108" customWidth="1"/>
    <col min="9752" max="9752" width="95.5" style="108" customWidth="1"/>
    <col min="9753" max="9753" width="50.6640625" style="108" customWidth="1"/>
    <col min="9754" max="9754" width="10.6640625" style="108" customWidth="1"/>
    <col min="9755" max="9755" width="10.5" style="108" customWidth="1"/>
    <col min="9756" max="9985" width="8.6640625" style="108"/>
    <col min="9986" max="9986" width="5" style="108" customWidth="1"/>
    <col min="9987" max="9987" width="46.5" style="108" customWidth="1"/>
    <col min="9988" max="9988" width="13.6640625" style="108" customWidth="1"/>
    <col min="9989" max="9989" width="14.33203125" style="108" customWidth="1"/>
    <col min="9990" max="9990" width="19.83203125" style="108" customWidth="1"/>
    <col min="9991" max="9991" width="10.33203125" style="108" customWidth="1"/>
    <col min="9992" max="9992" width="10" style="108" customWidth="1"/>
    <col min="9993" max="9993" width="22.33203125" style="108" customWidth="1"/>
    <col min="9994" max="9994" width="10.33203125" style="108" customWidth="1"/>
    <col min="9995" max="9995" width="22" style="108" customWidth="1"/>
    <col min="9996" max="9996" width="10.33203125" style="108" customWidth="1"/>
    <col min="9997" max="9997" width="15.83203125" style="108" customWidth="1"/>
    <col min="9998" max="10003" width="9.1640625" style="108" customWidth="1"/>
    <col min="10004" max="10004" width="51.5" style="108" customWidth="1"/>
    <col min="10005" max="10005" width="58.6640625" style="108" customWidth="1"/>
    <col min="10006" max="10006" width="53.6640625" style="108" customWidth="1"/>
    <col min="10007" max="10007" width="58.5" style="108" customWidth="1"/>
    <col min="10008" max="10008" width="95.5" style="108" customWidth="1"/>
    <col min="10009" max="10009" width="50.6640625" style="108" customWidth="1"/>
    <col min="10010" max="10010" width="10.6640625" style="108" customWidth="1"/>
    <col min="10011" max="10011" width="10.5" style="108" customWidth="1"/>
    <col min="10012" max="10241" width="8.6640625" style="108"/>
    <col min="10242" max="10242" width="5" style="108" customWidth="1"/>
    <col min="10243" max="10243" width="46.5" style="108" customWidth="1"/>
    <col min="10244" max="10244" width="13.6640625" style="108" customWidth="1"/>
    <col min="10245" max="10245" width="14.33203125" style="108" customWidth="1"/>
    <col min="10246" max="10246" width="19.83203125" style="108" customWidth="1"/>
    <col min="10247" max="10247" width="10.33203125" style="108" customWidth="1"/>
    <col min="10248" max="10248" width="10" style="108" customWidth="1"/>
    <col min="10249" max="10249" width="22.33203125" style="108" customWidth="1"/>
    <col min="10250" max="10250" width="10.33203125" style="108" customWidth="1"/>
    <col min="10251" max="10251" width="22" style="108" customWidth="1"/>
    <col min="10252" max="10252" width="10.33203125" style="108" customWidth="1"/>
    <col min="10253" max="10253" width="15.83203125" style="108" customWidth="1"/>
    <col min="10254" max="10259" width="9.1640625" style="108" customWidth="1"/>
    <col min="10260" max="10260" width="51.5" style="108" customWidth="1"/>
    <col min="10261" max="10261" width="58.6640625" style="108" customWidth="1"/>
    <col min="10262" max="10262" width="53.6640625" style="108" customWidth="1"/>
    <col min="10263" max="10263" width="58.5" style="108" customWidth="1"/>
    <col min="10264" max="10264" width="95.5" style="108" customWidth="1"/>
    <col min="10265" max="10265" width="50.6640625" style="108" customWidth="1"/>
    <col min="10266" max="10266" width="10.6640625" style="108" customWidth="1"/>
    <col min="10267" max="10267" width="10.5" style="108" customWidth="1"/>
    <col min="10268" max="10497" width="8.6640625" style="108"/>
    <col min="10498" max="10498" width="5" style="108" customWidth="1"/>
    <col min="10499" max="10499" width="46.5" style="108" customWidth="1"/>
    <col min="10500" max="10500" width="13.6640625" style="108" customWidth="1"/>
    <col min="10501" max="10501" width="14.33203125" style="108" customWidth="1"/>
    <col min="10502" max="10502" width="19.83203125" style="108" customWidth="1"/>
    <col min="10503" max="10503" width="10.33203125" style="108" customWidth="1"/>
    <col min="10504" max="10504" width="10" style="108" customWidth="1"/>
    <col min="10505" max="10505" width="22.33203125" style="108" customWidth="1"/>
    <col min="10506" max="10506" width="10.33203125" style="108" customWidth="1"/>
    <col min="10507" max="10507" width="22" style="108" customWidth="1"/>
    <col min="10508" max="10508" width="10.33203125" style="108" customWidth="1"/>
    <col min="10509" max="10509" width="15.83203125" style="108" customWidth="1"/>
    <col min="10510" max="10515" width="9.1640625" style="108" customWidth="1"/>
    <col min="10516" max="10516" width="51.5" style="108" customWidth="1"/>
    <col min="10517" max="10517" width="58.6640625" style="108" customWidth="1"/>
    <col min="10518" max="10518" width="53.6640625" style="108" customWidth="1"/>
    <col min="10519" max="10519" width="58.5" style="108" customWidth="1"/>
    <col min="10520" max="10520" width="95.5" style="108" customWidth="1"/>
    <col min="10521" max="10521" width="50.6640625" style="108" customWidth="1"/>
    <col min="10522" max="10522" width="10.6640625" style="108" customWidth="1"/>
    <col min="10523" max="10523" width="10.5" style="108" customWidth="1"/>
    <col min="10524" max="10753" width="8.6640625" style="108"/>
    <col min="10754" max="10754" width="5" style="108" customWidth="1"/>
    <col min="10755" max="10755" width="46.5" style="108" customWidth="1"/>
    <col min="10756" max="10756" width="13.6640625" style="108" customWidth="1"/>
    <col min="10757" max="10757" width="14.33203125" style="108" customWidth="1"/>
    <col min="10758" max="10758" width="19.83203125" style="108" customWidth="1"/>
    <col min="10759" max="10759" width="10.33203125" style="108" customWidth="1"/>
    <col min="10760" max="10760" width="10" style="108" customWidth="1"/>
    <col min="10761" max="10761" width="22.33203125" style="108" customWidth="1"/>
    <col min="10762" max="10762" width="10.33203125" style="108" customWidth="1"/>
    <col min="10763" max="10763" width="22" style="108" customWidth="1"/>
    <col min="10764" max="10764" width="10.33203125" style="108" customWidth="1"/>
    <col min="10765" max="10765" width="15.83203125" style="108" customWidth="1"/>
    <col min="10766" max="10771" width="9.1640625" style="108" customWidth="1"/>
    <col min="10772" max="10772" width="51.5" style="108" customWidth="1"/>
    <col min="10773" max="10773" width="58.6640625" style="108" customWidth="1"/>
    <col min="10774" max="10774" width="53.6640625" style="108" customWidth="1"/>
    <col min="10775" max="10775" width="58.5" style="108" customWidth="1"/>
    <col min="10776" max="10776" width="95.5" style="108" customWidth="1"/>
    <col min="10777" max="10777" width="50.6640625" style="108" customWidth="1"/>
    <col min="10778" max="10778" width="10.6640625" style="108" customWidth="1"/>
    <col min="10779" max="10779" width="10.5" style="108" customWidth="1"/>
    <col min="10780" max="11009" width="8.6640625" style="108"/>
    <col min="11010" max="11010" width="5" style="108" customWidth="1"/>
    <col min="11011" max="11011" width="46.5" style="108" customWidth="1"/>
    <col min="11012" max="11012" width="13.6640625" style="108" customWidth="1"/>
    <col min="11013" max="11013" width="14.33203125" style="108" customWidth="1"/>
    <col min="11014" max="11014" width="19.83203125" style="108" customWidth="1"/>
    <col min="11015" max="11015" width="10.33203125" style="108" customWidth="1"/>
    <col min="11016" max="11016" width="10" style="108" customWidth="1"/>
    <col min="11017" max="11017" width="22.33203125" style="108" customWidth="1"/>
    <col min="11018" max="11018" width="10.33203125" style="108" customWidth="1"/>
    <col min="11019" max="11019" width="22" style="108" customWidth="1"/>
    <col min="11020" max="11020" width="10.33203125" style="108" customWidth="1"/>
    <col min="11021" max="11021" width="15.83203125" style="108" customWidth="1"/>
    <col min="11022" max="11027" width="9.1640625" style="108" customWidth="1"/>
    <col min="11028" max="11028" width="51.5" style="108" customWidth="1"/>
    <col min="11029" max="11029" width="58.6640625" style="108" customWidth="1"/>
    <col min="11030" max="11030" width="53.6640625" style="108" customWidth="1"/>
    <col min="11031" max="11031" width="58.5" style="108" customWidth="1"/>
    <col min="11032" max="11032" width="95.5" style="108" customWidth="1"/>
    <col min="11033" max="11033" width="50.6640625" style="108" customWidth="1"/>
    <col min="11034" max="11034" width="10.6640625" style="108" customWidth="1"/>
    <col min="11035" max="11035" width="10.5" style="108" customWidth="1"/>
    <col min="11036" max="11265" width="8.6640625" style="108"/>
    <col min="11266" max="11266" width="5" style="108" customWidth="1"/>
    <col min="11267" max="11267" width="46.5" style="108" customWidth="1"/>
    <col min="11268" max="11268" width="13.6640625" style="108" customWidth="1"/>
    <col min="11269" max="11269" width="14.33203125" style="108" customWidth="1"/>
    <col min="11270" max="11270" width="19.83203125" style="108" customWidth="1"/>
    <col min="11271" max="11271" width="10.33203125" style="108" customWidth="1"/>
    <col min="11272" max="11272" width="10" style="108" customWidth="1"/>
    <col min="11273" max="11273" width="22.33203125" style="108" customWidth="1"/>
    <col min="11274" max="11274" width="10.33203125" style="108" customWidth="1"/>
    <col min="11275" max="11275" width="22" style="108" customWidth="1"/>
    <col min="11276" max="11276" width="10.33203125" style="108" customWidth="1"/>
    <col min="11277" max="11277" width="15.83203125" style="108" customWidth="1"/>
    <col min="11278" max="11283" width="9.1640625" style="108" customWidth="1"/>
    <col min="11284" max="11284" width="51.5" style="108" customWidth="1"/>
    <col min="11285" max="11285" width="58.6640625" style="108" customWidth="1"/>
    <col min="11286" max="11286" width="53.6640625" style="108" customWidth="1"/>
    <col min="11287" max="11287" width="58.5" style="108" customWidth="1"/>
    <col min="11288" max="11288" width="95.5" style="108" customWidth="1"/>
    <col min="11289" max="11289" width="50.6640625" style="108" customWidth="1"/>
    <col min="11290" max="11290" width="10.6640625" style="108" customWidth="1"/>
    <col min="11291" max="11291" width="10.5" style="108" customWidth="1"/>
    <col min="11292" max="11521" width="8.6640625" style="108"/>
    <col min="11522" max="11522" width="5" style="108" customWidth="1"/>
    <col min="11523" max="11523" width="46.5" style="108" customWidth="1"/>
    <col min="11524" max="11524" width="13.6640625" style="108" customWidth="1"/>
    <col min="11525" max="11525" width="14.33203125" style="108" customWidth="1"/>
    <col min="11526" max="11526" width="19.83203125" style="108" customWidth="1"/>
    <col min="11527" max="11527" width="10.33203125" style="108" customWidth="1"/>
    <col min="11528" max="11528" width="10" style="108" customWidth="1"/>
    <col min="11529" max="11529" width="22.33203125" style="108" customWidth="1"/>
    <col min="11530" max="11530" width="10.33203125" style="108" customWidth="1"/>
    <col min="11531" max="11531" width="22" style="108" customWidth="1"/>
    <col min="11532" max="11532" width="10.33203125" style="108" customWidth="1"/>
    <col min="11533" max="11533" width="15.83203125" style="108" customWidth="1"/>
    <col min="11534" max="11539" width="9.1640625" style="108" customWidth="1"/>
    <col min="11540" max="11540" width="51.5" style="108" customWidth="1"/>
    <col min="11541" max="11541" width="58.6640625" style="108" customWidth="1"/>
    <col min="11542" max="11542" width="53.6640625" style="108" customWidth="1"/>
    <col min="11543" max="11543" width="58.5" style="108" customWidth="1"/>
    <col min="11544" max="11544" width="95.5" style="108" customWidth="1"/>
    <col min="11545" max="11545" width="50.6640625" style="108" customWidth="1"/>
    <col min="11546" max="11546" width="10.6640625" style="108" customWidth="1"/>
    <col min="11547" max="11547" width="10.5" style="108" customWidth="1"/>
    <col min="11548" max="11777" width="8.6640625" style="108"/>
    <col min="11778" max="11778" width="5" style="108" customWidth="1"/>
    <col min="11779" max="11779" width="46.5" style="108" customWidth="1"/>
    <col min="11780" max="11780" width="13.6640625" style="108" customWidth="1"/>
    <col min="11781" max="11781" width="14.33203125" style="108" customWidth="1"/>
    <col min="11782" max="11782" width="19.83203125" style="108" customWidth="1"/>
    <col min="11783" max="11783" width="10.33203125" style="108" customWidth="1"/>
    <col min="11784" max="11784" width="10" style="108" customWidth="1"/>
    <col min="11785" max="11785" width="22.33203125" style="108" customWidth="1"/>
    <col min="11786" max="11786" width="10.33203125" style="108" customWidth="1"/>
    <col min="11787" max="11787" width="22" style="108" customWidth="1"/>
    <col min="11788" max="11788" width="10.33203125" style="108" customWidth="1"/>
    <col min="11789" max="11789" width="15.83203125" style="108" customWidth="1"/>
    <col min="11790" max="11795" width="9.1640625" style="108" customWidth="1"/>
    <col min="11796" max="11796" width="51.5" style="108" customWidth="1"/>
    <col min="11797" max="11797" width="58.6640625" style="108" customWidth="1"/>
    <col min="11798" max="11798" width="53.6640625" style="108" customWidth="1"/>
    <col min="11799" max="11799" width="58.5" style="108" customWidth="1"/>
    <col min="11800" max="11800" width="95.5" style="108" customWidth="1"/>
    <col min="11801" max="11801" width="50.6640625" style="108" customWidth="1"/>
    <col min="11802" max="11802" width="10.6640625" style="108" customWidth="1"/>
    <col min="11803" max="11803" width="10.5" style="108" customWidth="1"/>
    <col min="11804" max="12033" width="8.6640625" style="108"/>
    <col min="12034" max="12034" width="5" style="108" customWidth="1"/>
    <col min="12035" max="12035" width="46.5" style="108" customWidth="1"/>
    <col min="12036" max="12036" width="13.6640625" style="108" customWidth="1"/>
    <col min="12037" max="12037" width="14.33203125" style="108" customWidth="1"/>
    <col min="12038" max="12038" width="19.83203125" style="108" customWidth="1"/>
    <col min="12039" max="12039" width="10.33203125" style="108" customWidth="1"/>
    <col min="12040" max="12040" width="10" style="108" customWidth="1"/>
    <col min="12041" max="12041" width="22.33203125" style="108" customWidth="1"/>
    <col min="12042" max="12042" width="10.33203125" style="108" customWidth="1"/>
    <col min="12043" max="12043" width="22" style="108" customWidth="1"/>
    <col min="12044" max="12044" width="10.33203125" style="108" customWidth="1"/>
    <col min="12045" max="12045" width="15.83203125" style="108" customWidth="1"/>
    <col min="12046" max="12051" width="9.1640625" style="108" customWidth="1"/>
    <col min="12052" max="12052" width="51.5" style="108" customWidth="1"/>
    <col min="12053" max="12053" width="58.6640625" style="108" customWidth="1"/>
    <col min="12054" max="12054" width="53.6640625" style="108" customWidth="1"/>
    <col min="12055" max="12055" width="58.5" style="108" customWidth="1"/>
    <col min="12056" max="12056" width="95.5" style="108" customWidth="1"/>
    <col min="12057" max="12057" width="50.6640625" style="108" customWidth="1"/>
    <col min="12058" max="12058" width="10.6640625" style="108" customWidth="1"/>
    <col min="12059" max="12059" width="10.5" style="108" customWidth="1"/>
    <col min="12060" max="12289" width="8.6640625" style="108"/>
    <col min="12290" max="12290" width="5" style="108" customWidth="1"/>
    <col min="12291" max="12291" width="46.5" style="108" customWidth="1"/>
    <col min="12292" max="12292" width="13.6640625" style="108" customWidth="1"/>
    <col min="12293" max="12293" width="14.33203125" style="108" customWidth="1"/>
    <col min="12294" max="12294" width="19.83203125" style="108" customWidth="1"/>
    <col min="12295" max="12295" width="10.33203125" style="108" customWidth="1"/>
    <col min="12296" max="12296" width="10" style="108" customWidth="1"/>
    <col min="12297" max="12297" width="22.33203125" style="108" customWidth="1"/>
    <col min="12298" max="12298" width="10.33203125" style="108" customWidth="1"/>
    <col min="12299" max="12299" width="22" style="108" customWidth="1"/>
    <col min="12300" max="12300" width="10.33203125" style="108" customWidth="1"/>
    <col min="12301" max="12301" width="15.83203125" style="108" customWidth="1"/>
    <col min="12302" max="12307" width="9.1640625" style="108" customWidth="1"/>
    <col min="12308" max="12308" width="51.5" style="108" customWidth="1"/>
    <col min="12309" max="12309" width="58.6640625" style="108" customWidth="1"/>
    <col min="12310" max="12310" width="53.6640625" style="108" customWidth="1"/>
    <col min="12311" max="12311" width="58.5" style="108" customWidth="1"/>
    <col min="12312" max="12312" width="95.5" style="108" customWidth="1"/>
    <col min="12313" max="12313" width="50.6640625" style="108" customWidth="1"/>
    <col min="12314" max="12314" width="10.6640625" style="108" customWidth="1"/>
    <col min="12315" max="12315" width="10.5" style="108" customWidth="1"/>
    <col min="12316" max="12545" width="8.6640625" style="108"/>
    <col min="12546" max="12546" width="5" style="108" customWidth="1"/>
    <col min="12547" max="12547" width="46.5" style="108" customWidth="1"/>
    <col min="12548" max="12548" width="13.6640625" style="108" customWidth="1"/>
    <col min="12549" max="12549" width="14.33203125" style="108" customWidth="1"/>
    <col min="12550" max="12550" width="19.83203125" style="108" customWidth="1"/>
    <col min="12551" max="12551" width="10.33203125" style="108" customWidth="1"/>
    <col min="12552" max="12552" width="10" style="108" customWidth="1"/>
    <col min="12553" max="12553" width="22.33203125" style="108" customWidth="1"/>
    <col min="12554" max="12554" width="10.33203125" style="108" customWidth="1"/>
    <col min="12555" max="12555" width="22" style="108" customWidth="1"/>
    <col min="12556" max="12556" width="10.33203125" style="108" customWidth="1"/>
    <col min="12557" max="12557" width="15.83203125" style="108" customWidth="1"/>
    <col min="12558" max="12563" width="9.1640625" style="108" customWidth="1"/>
    <col min="12564" max="12564" width="51.5" style="108" customWidth="1"/>
    <col min="12565" max="12565" width="58.6640625" style="108" customWidth="1"/>
    <col min="12566" max="12566" width="53.6640625" style="108" customWidth="1"/>
    <col min="12567" max="12567" width="58.5" style="108" customWidth="1"/>
    <col min="12568" max="12568" width="95.5" style="108" customWidth="1"/>
    <col min="12569" max="12569" width="50.6640625" style="108" customWidth="1"/>
    <col min="12570" max="12570" width="10.6640625" style="108" customWidth="1"/>
    <col min="12571" max="12571" width="10.5" style="108" customWidth="1"/>
    <col min="12572" max="12801" width="8.6640625" style="108"/>
    <col min="12802" max="12802" width="5" style="108" customWidth="1"/>
    <col min="12803" max="12803" width="46.5" style="108" customWidth="1"/>
    <col min="12804" max="12804" width="13.6640625" style="108" customWidth="1"/>
    <col min="12805" max="12805" width="14.33203125" style="108" customWidth="1"/>
    <col min="12806" max="12806" width="19.83203125" style="108" customWidth="1"/>
    <col min="12807" max="12807" width="10.33203125" style="108" customWidth="1"/>
    <col min="12808" max="12808" width="10" style="108" customWidth="1"/>
    <col min="12809" max="12809" width="22.33203125" style="108" customWidth="1"/>
    <col min="12810" max="12810" width="10.33203125" style="108" customWidth="1"/>
    <col min="12811" max="12811" width="22" style="108" customWidth="1"/>
    <col min="12812" max="12812" width="10.33203125" style="108" customWidth="1"/>
    <col min="12813" max="12813" width="15.83203125" style="108" customWidth="1"/>
    <col min="12814" max="12819" width="9.1640625" style="108" customWidth="1"/>
    <col min="12820" max="12820" width="51.5" style="108" customWidth="1"/>
    <col min="12821" max="12821" width="58.6640625" style="108" customWidth="1"/>
    <col min="12822" max="12822" width="53.6640625" style="108" customWidth="1"/>
    <col min="12823" max="12823" width="58.5" style="108" customWidth="1"/>
    <col min="12824" max="12824" width="95.5" style="108" customWidth="1"/>
    <col min="12825" max="12825" width="50.6640625" style="108" customWidth="1"/>
    <col min="12826" max="12826" width="10.6640625" style="108" customWidth="1"/>
    <col min="12827" max="12827" width="10.5" style="108" customWidth="1"/>
    <col min="12828" max="13057" width="8.6640625" style="108"/>
    <col min="13058" max="13058" width="5" style="108" customWidth="1"/>
    <col min="13059" max="13059" width="46.5" style="108" customWidth="1"/>
    <col min="13060" max="13060" width="13.6640625" style="108" customWidth="1"/>
    <col min="13061" max="13061" width="14.33203125" style="108" customWidth="1"/>
    <col min="13062" max="13062" width="19.83203125" style="108" customWidth="1"/>
    <col min="13063" max="13063" width="10.33203125" style="108" customWidth="1"/>
    <col min="13064" max="13064" width="10" style="108" customWidth="1"/>
    <col min="13065" max="13065" width="22.33203125" style="108" customWidth="1"/>
    <col min="13066" max="13066" width="10.33203125" style="108" customWidth="1"/>
    <col min="13067" max="13067" width="22" style="108" customWidth="1"/>
    <col min="13068" max="13068" width="10.33203125" style="108" customWidth="1"/>
    <col min="13069" max="13069" width="15.83203125" style="108" customWidth="1"/>
    <col min="13070" max="13075" width="9.1640625" style="108" customWidth="1"/>
    <col min="13076" max="13076" width="51.5" style="108" customWidth="1"/>
    <col min="13077" max="13077" width="58.6640625" style="108" customWidth="1"/>
    <col min="13078" max="13078" width="53.6640625" style="108" customWidth="1"/>
    <col min="13079" max="13079" width="58.5" style="108" customWidth="1"/>
    <col min="13080" max="13080" width="95.5" style="108" customWidth="1"/>
    <col min="13081" max="13081" width="50.6640625" style="108" customWidth="1"/>
    <col min="13082" max="13082" width="10.6640625" style="108" customWidth="1"/>
    <col min="13083" max="13083" width="10.5" style="108" customWidth="1"/>
    <col min="13084" max="13313" width="8.6640625" style="108"/>
    <col min="13314" max="13314" width="5" style="108" customWidth="1"/>
    <col min="13315" max="13315" width="46.5" style="108" customWidth="1"/>
    <col min="13316" max="13316" width="13.6640625" style="108" customWidth="1"/>
    <col min="13317" max="13317" width="14.33203125" style="108" customWidth="1"/>
    <col min="13318" max="13318" width="19.83203125" style="108" customWidth="1"/>
    <col min="13319" max="13319" width="10.33203125" style="108" customWidth="1"/>
    <col min="13320" max="13320" width="10" style="108" customWidth="1"/>
    <col min="13321" max="13321" width="22.33203125" style="108" customWidth="1"/>
    <col min="13322" max="13322" width="10.33203125" style="108" customWidth="1"/>
    <col min="13323" max="13323" width="22" style="108" customWidth="1"/>
    <col min="13324" max="13324" width="10.33203125" style="108" customWidth="1"/>
    <col min="13325" max="13325" width="15.83203125" style="108" customWidth="1"/>
    <col min="13326" max="13331" width="9.1640625" style="108" customWidth="1"/>
    <col min="13332" max="13332" width="51.5" style="108" customWidth="1"/>
    <col min="13333" max="13333" width="58.6640625" style="108" customWidth="1"/>
    <col min="13334" max="13334" width="53.6640625" style="108" customWidth="1"/>
    <col min="13335" max="13335" width="58.5" style="108" customWidth="1"/>
    <col min="13336" max="13336" width="95.5" style="108" customWidth="1"/>
    <col min="13337" max="13337" width="50.6640625" style="108" customWidth="1"/>
    <col min="13338" max="13338" width="10.6640625" style="108" customWidth="1"/>
    <col min="13339" max="13339" width="10.5" style="108" customWidth="1"/>
    <col min="13340" max="13569" width="8.6640625" style="108"/>
    <col min="13570" max="13570" width="5" style="108" customWidth="1"/>
    <col min="13571" max="13571" width="46.5" style="108" customWidth="1"/>
    <col min="13572" max="13572" width="13.6640625" style="108" customWidth="1"/>
    <col min="13573" max="13573" width="14.33203125" style="108" customWidth="1"/>
    <col min="13574" max="13574" width="19.83203125" style="108" customWidth="1"/>
    <col min="13575" max="13575" width="10.33203125" style="108" customWidth="1"/>
    <col min="13576" max="13576" width="10" style="108" customWidth="1"/>
    <col min="13577" max="13577" width="22.33203125" style="108" customWidth="1"/>
    <col min="13578" max="13578" width="10.33203125" style="108" customWidth="1"/>
    <col min="13579" max="13579" width="22" style="108" customWidth="1"/>
    <col min="13580" max="13580" width="10.33203125" style="108" customWidth="1"/>
    <col min="13581" max="13581" width="15.83203125" style="108" customWidth="1"/>
    <col min="13582" max="13587" width="9.1640625" style="108" customWidth="1"/>
    <col min="13588" max="13588" width="51.5" style="108" customWidth="1"/>
    <col min="13589" max="13589" width="58.6640625" style="108" customWidth="1"/>
    <col min="13590" max="13590" width="53.6640625" style="108" customWidth="1"/>
    <col min="13591" max="13591" width="58.5" style="108" customWidth="1"/>
    <col min="13592" max="13592" width="95.5" style="108" customWidth="1"/>
    <col min="13593" max="13593" width="50.6640625" style="108" customWidth="1"/>
    <col min="13594" max="13594" width="10.6640625" style="108" customWidth="1"/>
    <col min="13595" max="13595" width="10.5" style="108" customWidth="1"/>
    <col min="13596" max="13825" width="8.6640625" style="108"/>
    <col min="13826" max="13826" width="5" style="108" customWidth="1"/>
    <col min="13827" max="13827" width="46.5" style="108" customWidth="1"/>
    <col min="13828" max="13828" width="13.6640625" style="108" customWidth="1"/>
    <col min="13829" max="13829" width="14.33203125" style="108" customWidth="1"/>
    <col min="13830" max="13830" width="19.83203125" style="108" customWidth="1"/>
    <col min="13831" max="13831" width="10.33203125" style="108" customWidth="1"/>
    <col min="13832" max="13832" width="10" style="108" customWidth="1"/>
    <col min="13833" max="13833" width="22.33203125" style="108" customWidth="1"/>
    <col min="13834" max="13834" width="10.33203125" style="108" customWidth="1"/>
    <col min="13835" max="13835" width="22" style="108" customWidth="1"/>
    <col min="13836" max="13836" width="10.33203125" style="108" customWidth="1"/>
    <col min="13837" max="13837" width="15.83203125" style="108" customWidth="1"/>
    <col min="13838" max="13843" width="9.1640625" style="108" customWidth="1"/>
    <col min="13844" max="13844" width="51.5" style="108" customWidth="1"/>
    <col min="13845" max="13845" width="58.6640625" style="108" customWidth="1"/>
    <col min="13846" max="13846" width="53.6640625" style="108" customWidth="1"/>
    <col min="13847" max="13847" width="58.5" style="108" customWidth="1"/>
    <col min="13848" max="13848" width="95.5" style="108" customWidth="1"/>
    <col min="13849" max="13849" width="50.6640625" style="108" customWidth="1"/>
    <col min="13850" max="13850" width="10.6640625" style="108" customWidth="1"/>
    <col min="13851" max="13851" width="10.5" style="108" customWidth="1"/>
    <col min="13852" max="14081" width="8.6640625" style="108"/>
    <col min="14082" max="14082" width="5" style="108" customWidth="1"/>
    <col min="14083" max="14083" width="46.5" style="108" customWidth="1"/>
    <col min="14084" max="14084" width="13.6640625" style="108" customWidth="1"/>
    <col min="14085" max="14085" width="14.33203125" style="108" customWidth="1"/>
    <col min="14086" max="14086" width="19.83203125" style="108" customWidth="1"/>
    <col min="14087" max="14087" width="10.33203125" style="108" customWidth="1"/>
    <col min="14088" max="14088" width="10" style="108" customWidth="1"/>
    <col min="14089" max="14089" width="22.33203125" style="108" customWidth="1"/>
    <col min="14090" max="14090" width="10.33203125" style="108" customWidth="1"/>
    <col min="14091" max="14091" width="22" style="108" customWidth="1"/>
    <col min="14092" max="14092" width="10.33203125" style="108" customWidth="1"/>
    <col min="14093" max="14093" width="15.83203125" style="108" customWidth="1"/>
    <col min="14094" max="14099" width="9.1640625" style="108" customWidth="1"/>
    <col min="14100" max="14100" width="51.5" style="108" customWidth="1"/>
    <col min="14101" max="14101" width="58.6640625" style="108" customWidth="1"/>
    <col min="14102" max="14102" width="53.6640625" style="108" customWidth="1"/>
    <col min="14103" max="14103" width="58.5" style="108" customWidth="1"/>
    <col min="14104" max="14104" width="95.5" style="108" customWidth="1"/>
    <col min="14105" max="14105" width="50.6640625" style="108" customWidth="1"/>
    <col min="14106" max="14106" width="10.6640625" style="108" customWidth="1"/>
    <col min="14107" max="14107" width="10.5" style="108" customWidth="1"/>
    <col min="14108" max="14337" width="8.6640625" style="108"/>
    <col min="14338" max="14338" width="5" style="108" customWidth="1"/>
    <col min="14339" max="14339" width="46.5" style="108" customWidth="1"/>
    <col min="14340" max="14340" width="13.6640625" style="108" customWidth="1"/>
    <col min="14341" max="14341" width="14.33203125" style="108" customWidth="1"/>
    <col min="14342" max="14342" width="19.83203125" style="108" customWidth="1"/>
    <col min="14343" max="14343" width="10.33203125" style="108" customWidth="1"/>
    <col min="14344" max="14344" width="10" style="108" customWidth="1"/>
    <col min="14345" max="14345" width="22.33203125" style="108" customWidth="1"/>
    <col min="14346" max="14346" width="10.33203125" style="108" customWidth="1"/>
    <col min="14347" max="14347" width="22" style="108" customWidth="1"/>
    <col min="14348" max="14348" width="10.33203125" style="108" customWidth="1"/>
    <col min="14349" max="14349" width="15.83203125" style="108" customWidth="1"/>
    <col min="14350" max="14355" width="9.1640625" style="108" customWidth="1"/>
    <col min="14356" max="14356" width="51.5" style="108" customWidth="1"/>
    <col min="14357" max="14357" width="58.6640625" style="108" customWidth="1"/>
    <col min="14358" max="14358" width="53.6640625" style="108" customWidth="1"/>
    <col min="14359" max="14359" width="58.5" style="108" customWidth="1"/>
    <col min="14360" max="14360" width="95.5" style="108" customWidth="1"/>
    <col min="14361" max="14361" width="50.6640625" style="108" customWidth="1"/>
    <col min="14362" max="14362" width="10.6640625" style="108" customWidth="1"/>
    <col min="14363" max="14363" width="10.5" style="108" customWidth="1"/>
    <col min="14364" max="14593" width="8.6640625" style="108"/>
    <col min="14594" max="14594" width="5" style="108" customWidth="1"/>
    <col min="14595" max="14595" width="46.5" style="108" customWidth="1"/>
    <col min="14596" max="14596" width="13.6640625" style="108" customWidth="1"/>
    <col min="14597" max="14597" width="14.33203125" style="108" customWidth="1"/>
    <col min="14598" max="14598" width="19.83203125" style="108" customWidth="1"/>
    <col min="14599" max="14599" width="10.33203125" style="108" customWidth="1"/>
    <col min="14600" max="14600" width="10" style="108" customWidth="1"/>
    <col min="14601" max="14601" width="22.33203125" style="108" customWidth="1"/>
    <col min="14602" max="14602" width="10.33203125" style="108" customWidth="1"/>
    <col min="14603" max="14603" width="22" style="108" customWidth="1"/>
    <col min="14604" max="14604" width="10.33203125" style="108" customWidth="1"/>
    <col min="14605" max="14605" width="15.83203125" style="108" customWidth="1"/>
    <col min="14606" max="14611" width="9.1640625" style="108" customWidth="1"/>
    <col min="14612" max="14612" width="51.5" style="108" customWidth="1"/>
    <col min="14613" max="14613" width="58.6640625" style="108" customWidth="1"/>
    <col min="14614" max="14614" width="53.6640625" style="108" customWidth="1"/>
    <col min="14615" max="14615" width="58.5" style="108" customWidth="1"/>
    <col min="14616" max="14616" width="95.5" style="108" customWidth="1"/>
    <col min="14617" max="14617" width="50.6640625" style="108" customWidth="1"/>
    <col min="14618" max="14618" width="10.6640625" style="108" customWidth="1"/>
    <col min="14619" max="14619" width="10.5" style="108" customWidth="1"/>
    <col min="14620" max="14849" width="8.6640625" style="108"/>
    <col min="14850" max="14850" width="5" style="108" customWidth="1"/>
    <col min="14851" max="14851" width="46.5" style="108" customWidth="1"/>
    <col min="14852" max="14852" width="13.6640625" style="108" customWidth="1"/>
    <col min="14853" max="14853" width="14.33203125" style="108" customWidth="1"/>
    <col min="14854" max="14854" width="19.83203125" style="108" customWidth="1"/>
    <col min="14855" max="14855" width="10.33203125" style="108" customWidth="1"/>
    <col min="14856" max="14856" width="10" style="108" customWidth="1"/>
    <col min="14857" max="14857" width="22.33203125" style="108" customWidth="1"/>
    <col min="14858" max="14858" width="10.33203125" style="108" customWidth="1"/>
    <col min="14859" max="14859" width="22" style="108" customWidth="1"/>
    <col min="14860" max="14860" width="10.33203125" style="108" customWidth="1"/>
    <col min="14861" max="14861" width="15.83203125" style="108" customWidth="1"/>
    <col min="14862" max="14867" width="9.1640625" style="108" customWidth="1"/>
    <col min="14868" max="14868" width="51.5" style="108" customWidth="1"/>
    <col min="14869" max="14869" width="58.6640625" style="108" customWidth="1"/>
    <col min="14870" max="14870" width="53.6640625" style="108" customWidth="1"/>
    <col min="14871" max="14871" width="58.5" style="108" customWidth="1"/>
    <col min="14872" max="14872" width="95.5" style="108" customWidth="1"/>
    <col min="14873" max="14873" width="50.6640625" style="108" customWidth="1"/>
    <col min="14874" max="14874" width="10.6640625" style="108" customWidth="1"/>
    <col min="14875" max="14875" width="10.5" style="108" customWidth="1"/>
    <col min="14876" max="15105" width="8.6640625" style="108"/>
    <col min="15106" max="15106" width="5" style="108" customWidth="1"/>
    <col min="15107" max="15107" width="46.5" style="108" customWidth="1"/>
    <col min="15108" max="15108" width="13.6640625" style="108" customWidth="1"/>
    <col min="15109" max="15109" width="14.33203125" style="108" customWidth="1"/>
    <col min="15110" max="15110" width="19.83203125" style="108" customWidth="1"/>
    <col min="15111" max="15111" width="10.33203125" style="108" customWidth="1"/>
    <col min="15112" max="15112" width="10" style="108" customWidth="1"/>
    <col min="15113" max="15113" width="22.33203125" style="108" customWidth="1"/>
    <col min="15114" max="15114" width="10.33203125" style="108" customWidth="1"/>
    <col min="15115" max="15115" width="22" style="108" customWidth="1"/>
    <col min="15116" max="15116" width="10.33203125" style="108" customWidth="1"/>
    <col min="15117" max="15117" width="15.83203125" style="108" customWidth="1"/>
    <col min="15118" max="15123" width="9.1640625" style="108" customWidth="1"/>
    <col min="15124" max="15124" width="51.5" style="108" customWidth="1"/>
    <col min="15125" max="15125" width="58.6640625" style="108" customWidth="1"/>
    <col min="15126" max="15126" width="53.6640625" style="108" customWidth="1"/>
    <col min="15127" max="15127" width="58.5" style="108" customWidth="1"/>
    <col min="15128" max="15128" width="95.5" style="108" customWidth="1"/>
    <col min="15129" max="15129" width="50.6640625" style="108" customWidth="1"/>
    <col min="15130" max="15130" width="10.6640625" style="108" customWidth="1"/>
    <col min="15131" max="15131" width="10.5" style="108" customWidth="1"/>
    <col min="15132" max="15361" width="8.6640625" style="108"/>
    <col min="15362" max="15362" width="5" style="108" customWidth="1"/>
    <col min="15363" max="15363" width="46.5" style="108" customWidth="1"/>
    <col min="15364" max="15364" width="13.6640625" style="108" customWidth="1"/>
    <col min="15365" max="15365" width="14.33203125" style="108" customWidth="1"/>
    <col min="15366" max="15366" width="19.83203125" style="108" customWidth="1"/>
    <col min="15367" max="15367" width="10.33203125" style="108" customWidth="1"/>
    <col min="15368" max="15368" width="10" style="108" customWidth="1"/>
    <col min="15369" max="15369" width="22.33203125" style="108" customWidth="1"/>
    <col min="15370" max="15370" width="10.33203125" style="108" customWidth="1"/>
    <col min="15371" max="15371" width="22" style="108" customWidth="1"/>
    <col min="15372" max="15372" width="10.33203125" style="108" customWidth="1"/>
    <col min="15373" max="15373" width="15.83203125" style="108" customWidth="1"/>
    <col min="15374" max="15379" width="9.1640625" style="108" customWidth="1"/>
    <col min="15380" max="15380" width="51.5" style="108" customWidth="1"/>
    <col min="15381" max="15381" width="58.6640625" style="108" customWidth="1"/>
    <col min="15382" max="15382" width="53.6640625" style="108" customWidth="1"/>
    <col min="15383" max="15383" width="58.5" style="108" customWidth="1"/>
    <col min="15384" max="15384" width="95.5" style="108" customWidth="1"/>
    <col min="15385" max="15385" width="50.6640625" style="108" customWidth="1"/>
    <col min="15386" max="15386" width="10.6640625" style="108" customWidth="1"/>
    <col min="15387" max="15387" width="10.5" style="108" customWidth="1"/>
    <col min="15388" max="15617" width="8.6640625" style="108"/>
    <col min="15618" max="15618" width="5" style="108" customWidth="1"/>
    <col min="15619" max="15619" width="46.5" style="108" customWidth="1"/>
    <col min="15620" max="15620" width="13.6640625" style="108" customWidth="1"/>
    <col min="15621" max="15621" width="14.33203125" style="108" customWidth="1"/>
    <col min="15622" max="15622" width="19.83203125" style="108" customWidth="1"/>
    <col min="15623" max="15623" width="10.33203125" style="108" customWidth="1"/>
    <col min="15624" max="15624" width="10" style="108" customWidth="1"/>
    <col min="15625" max="15625" width="22.33203125" style="108" customWidth="1"/>
    <col min="15626" max="15626" width="10.33203125" style="108" customWidth="1"/>
    <col min="15627" max="15627" width="22" style="108" customWidth="1"/>
    <col min="15628" max="15628" width="10.33203125" style="108" customWidth="1"/>
    <col min="15629" max="15629" width="15.83203125" style="108" customWidth="1"/>
    <col min="15630" max="15635" width="9.1640625" style="108" customWidth="1"/>
    <col min="15636" max="15636" width="51.5" style="108" customWidth="1"/>
    <col min="15637" max="15637" width="58.6640625" style="108" customWidth="1"/>
    <col min="15638" max="15638" width="53.6640625" style="108" customWidth="1"/>
    <col min="15639" max="15639" width="58.5" style="108" customWidth="1"/>
    <col min="15640" max="15640" width="95.5" style="108" customWidth="1"/>
    <col min="15641" max="15641" width="50.6640625" style="108" customWidth="1"/>
    <col min="15642" max="15642" width="10.6640625" style="108" customWidth="1"/>
    <col min="15643" max="15643" width="10.5" style="108" customWidth="1"/>
    <col min="15644" max="15873" width="8.6640625" style="108"/>
    <col min="15874" max="15874" width="5" style="108" customWidth="1"/>
    <col min="15875" max="15875" width="46.5" style="108" customWidth="1"/>
    <col min="15876" max="15876" width="13.6640625" style="108" customWidth="1"/>
    <col min="15877" max="15877" width="14.33203125" style="108" customWidth="1"/>
    <col min="15878" max="15878" width="19.83203125" style="108" customWidth="1"/>
    <col min="15879" max="15879" width="10.33203125" style="108" customWidth="1"/>
    <col min="15880" max="15880" width="10" style="108" customWidth="1"/>
    <col min="15881" max="15881" width="22.33203125" style="108" customWidth="1"/>
    <col min="15882" max="15882" width="10.33203125" style="108" customWidth="1"/>
    <col min="15883" max="15883" width="22" style="108" customWidth="1"/>
    <col min="15884" max="15884" width="10.33203125" style="108" customWidth="1"/>
    <col min="15885" max="15885" width="15.83203125" style="108" customWidth="1"/>
    <col min="15886" max="15891" width="9.1640625" style="108" customWidth="1"/>
    <col min="15892" max="15892" width="51.5" style="108" customWidth="1"/>
    <col min="15893" max="15893" width="58.6640625" style="108" customWidth="1"/>
    <col min="15894" max="15894" width="53.6640625" style="108" customWidth="1"/>
    <col min="15895" max="15895" width="58.5" style="108" customWidth="1"/>
    <col min="15896" max="15896" width="95.5" style="108" customWidth="1"/>
    <col min="15897" max="15897" width="50.6640625" style="108" customWidth="1"/>
    <col min="15898" max="15898" width="10.6640625" style="108" customWidth="1"/>
    <col min="15899" max="15899" width="10.5" style="108" customWidth="1"/>
    <col min="15900" max="16129" width="8.6640625" style="108"/>
    <col min="16130" max="16130" width="5" style="108" customWidth="1"/>
    <col min="16131" max="16131" width="46.5" style="108" customWidth="1"/>
    <col min="16132" max="16132" width="13.6640625" style="108" customWidth="1"/>
    <col min="16133" max="16133" width="14.33203125" style="108" customWidth="1"/>
    <col min="16134" max="16134" width="19.83203125" style="108" customWidth="1"/>
    <col min="16135" max="16135" width="10.33203125" style="108" customWidth="1"/>
    <col min="16136" max="16136" width="10" style="108" customWidth="1"/>
    <col min="16137" max="16137" width="22.33203125" style="108" customWidth="1"/>
    <col min="16138" max="16138" width="10.33203125" style="108" customWidth="1"/>
    <col min="16139" max="16139" width="22" style="108" customWidth="1"/>
    <col min="16140" max="16140" width="10.33203125" style="108" customWidth="1"/>
    <col min="16141" max="16141" width="15.83203125" style="108" customWidth="1"/>
    <col min="16142" max="16147" width="9.1640625" style="108" customWidth="1"/>
    <col min="16148" max="16148" width="51.5" style="108" customWidth="1"/>
    <col min="16149" max="16149" width="58.6640625" style="108" customWidth="1"/>
    <col min="16150" max="16150" width="53.6640625" style="108" customWidth="1"/>
    <col min="16151" max="16151" width="58.5" style="108" customWidth="1"/>
    <col min="16152" max="16152" width="95.5" style="108" customWidth="1"/>
    <col min="16153" max="16153" width="50.6640625" style="108" customWidth="1"/>
    <col min="16154" max="16154" width="10.6640625" style="108" customWidth="1"/>
    <col min="16155" max="16155" width="10.5" style="108" customWidth="1"/>
    <col min="16156" max="16384" width="8.6640625" style="108"/>
  </cols>
  <sheetData>
    <row r="1" spans="1:15" ht="17" customHeight="1">
      <c r="A1" s="680" t="s">
        <v>78</v>
      </c>
      <c r="B1" s="681"/>
      <c r="C1" s="676" t="s">
        <v>171</v>
      </c>
      <c r="D1" s="677"/>
      <c r="E1" s="677"/>
      <c r="F1" s="677"/>
      <c r="G1" s="677"/>
      <c r="H1" s="677"/>
      <c r="I1" s="677"/>
      <c r="J1" s="677"/>
      <c r="K1" s="266"/>
      <c r="L1" s="314"/>
    </row>
    <row r="2" spans="1:15" ht="17" customHeight="1">
      <c r="A2" s="682" t="s">
        <v>1</v>
      </c>
      <c r="B2" s="683"/>
      <c r="C2" s="676"/>
      <c r="D2" s="677"/>
      <c r="E2" s="677"/>
      <c r="F2" s="677"/>
      <c r="G2" s="677"/>
      <c r="H2" s="677"/>
      <c r="I2" s="677"/>
      <c r="J2" s="677"/>
      <c r="K2" s="266"/>
      <c r="L2" s="314"/>
    </row>
    <row r="3" spans="1:15" ht="17" customHeight="1">
      <c r="A3" s="682" t="s">
        <v>0</v>
      </c>
      <c r="B3" s="683"/>
      <c r="C3" s="676"/>
      <c r="D3" s="677"/>
      <c r="E3" s="677"/>
      <c r="F3" s="677"/>
      <c r="G3" s="677"/>
      <c r="H3" s="677"/>
      <c r="I3" s="677"/>
      <c r="J3" s="677"/>
      <c r="K3" s="266"/>
      <c r="L3" s="314"/>
    </row>
    <row r="4" spans="1:15" ht="17" customHeight="1">
      <c r="A4" s="682" t="s">
        <v>2</v>
      </c>
      <c r="B4" s="683"/>
      <c r="C4" s="676"/>
      <c r="D4" s="677"/>
      <c r="E4" s="677"/>
      <c r="F4" s="677"/>
      <c r="G4" s="677"/>
      <c r="H4" s="677"/>
      <c r="I4" s="677"/>
      <c r="J4" s="677"/>
      <c r="K4" s="266"/>
      <c r="L4" s="314"/>
    </row>
    <row r="5" spans="1:15" ht="17" customHeight="1">
      <c r="A5" s="682" t="s">
        <v>3</v>
      </c>
      <c r="B5" s="683"/>
      <c r="C5" s="676"/>
      <c r="D5" s="677"/>
      <c r="E5" s="677"/>
      <c r="F5" s="677"/>
      <c r="G5" s="677"/>
      <c r="H5" s="677"/>
      <c r="I5" s="677"/>
      <c r="J5" s="677"/>
      <c r="K5" s="266"/>
      <c r="L5" s="314"/>
    </row>
    <row r="6" spans="1:15" ht="17" customHeight="1">
      <c r="A6" s="684" t="s">
        <v>42</v>
      </c>
      <c r="B6" s="685"/>
      <c r="C6" s="678">
        <v>43617</v>
      </c>
      <c r="D6" s="677"/>
      <c r="E6" s="677"/>
      <c r="F6" s="677"/>
      <c r="G6" s="677"/>
      <c r="H6" s="677"/>
      <c r="I6" s="677"/>
      <c r="J6" s="677"/>
      <c r="K6" s="266"/>
      <c r="L6" s="314"/>
    </row>
    <row r="8" spans="1:15" s="115" customFormat="1" ht="22.5" customHeight="1">
      <c r="A8" s="679" t="s">
        <v>74</v>
      </c>
      <c r="B8" s="679"/>
      <c r="C8" s="679"/>
      <c r="D8" s="679"/>
      <c r="E8" s="679"/>
      <c r="F8" s="679"/>
      <c r="G8" s="679"/>
      <c r="H8" s="679"/>
      <c r="I8" s="679"/>
      <c r="J8" s="679"/>
      <c r="K8" s="267"/>
      <c r="L8" s="315"/>
      <c r="M8" s="116"/>
      <c r="O8" s="116"/>
    </row>
    <row r="9" spans="1:15" s="125" customFormat="1">
      <c r="A9" s="117"/>
      <c r="B9" s="118" t="s">
        <v>83</v>
      </c>
      <c r="C9" s="119"/>
      <c r="D9" s="120"/>
      <c r="E9" s="120"/>
      <c r="F9" s="121"/>
      <c r="G9" s="121"/>
      <c r="H9" s="120"/>
      <c r="I9" s="122"/>
      <c r="J9" s="123"/>
      <c r="K9" s="121"/>
      <c r="L9" s="316"/>
      <c r="M9" s="124"/>
      <c r="O9" s="124"/>
    </row>
    <row r="10" spans="1:15" s="115" customFormat="1">
      <c r="A10" s="126"/>
      <c r="B10" s="126"/>
      <c r="C10" s="127"/>
      <c r="D10" s="128"/>
      <c r="E10" s="128"/>
      <c r="F10" s="129"/>
      <c r="G10" s="129"/>
      <c r="H10" s="128"/>
      <c r="I10" s="130"/>
      <c r="J10" s="131"/>
      <c r="K10" s="129"/>
      <c r="L10" s="316"/>
      <c r="M10" s="116"/>
      <c r="O10" s="116"/>
    </row>
    <row r="11" spans="1:15" ht="40" customHeight="1">
      <c r="A11" s="132" t="s">
        <v>47</v>
      </c>
      <c r="B11" s="132" t="s">
        <v>48</v>
      </c>
      <c r="C11" s="133" t="s">
        <v>49</v>
      </c>
      <c r="D11" s="134" t="s">
        <v>84</v>
      </c>
      <c r="E11" s="134" t="s">
        <v>85</v>
      </c>
      <c r="F11" s="135" t="s">
        <v>86</v>
      </c>
      <c r="G11" s="135" t="s">
        <v>87</v>
      </c>
      <c r="H11" s="134" t="s">
        <v>88</v>
      </c>
      <c r="I11" s="136" t="s">
        <v>86</v>
      </c>
      <c r="J11" s="134" t="s">
        <v>89</v>
      </c>
      <c r="K11" s="135" t="s">
        <v>86</v>
      </c>
      <c r="L11" s="317" t="s">
        <v>156</v>
      </c>
      <c r="M11" s="277" t="s">
        <v>134</v>
      </c>
      <c r="N11" s="278" t="s">
        <v>135</v>
      </c>
      <c r="O11" s="313" t="s">
        <v>155</v>
      </c>
    </row>
    <row r="12" spans="1:15" ht="29" customHeight="1">
      <c r="A12" s="137" t="s">
        <v>50</v>
      </c>
      <c r="B12" s="138" t="s">
        <v>90</v>
      </c>
      <c r="C12" s="139"/>
      <c r="D12" s="140">
        <f>'Dau tu va phan tich TC'!C23</f>
        <v>4318350000</v>
      </c>
      <c r="E12" s="141"/>
      <c r="F12" s="142"/>
      <c r="G12" s="142"/>
      <c r="H12" s="141"/>
      <c r="I12" s="143"/>
      <c r="J12" s="141"/>
      <c r="K12" s="142"/>
      <c r="L12" s="318"/>
      <c r="M12" s="271"/>
      <c r="N12" s="272"/>
      <c r="O12" s="271"/>
    </row>
    <row r="13" spans="1:15" ht="29" customHeight="1">
      <c r="A13" s="144"/>
      <c r="B13" s="145"/>
      <c r="C13" s="146"/>
      <c r="D13" s="147"/>
      <c r="E13" s="148"/>
      <c r="F13" s="149"/>
      <c r="G13" s="149"/>
      <c r="H13" s="148"/>
      <c r="I13" s="150"/>
      <c r="J13" s="148"/>
      <c r="K13" s="149"/>
      <c r="L13" s="319"/>
      <c r="M13" s="271"/>
      <c r="N13" s="272"/>
      <c r="O13" s="271"/>
    </row>
    <row r="14" spans="1:15" ht="30" customHeight="1">
      <c r="A14" s="137" t="s">
        <v>52</v>
      </c>
      <c r="B14" s="138" t="s">
        <v>51</v>
      </c>
      <c r="C14" s="139"/>
      <c r="D14" s="151"/>
      <c r="E14" s="141">
        <f>SUM(E15)</f>
        <v>3590000000</v>
      </c>
      <c r="F14" s="142"/>
      <c r="G14" s="142"/>
      <c r="H14" s="141">
        <f>SUM(H15)</f>
        <v>37260000000</v>
      </c>
      <c r="I14" s="143"/>
      <c r="J14" s="141">
        <f>SUM(J15)</f>
        <v>56850000000</v>
      </c>
      <c r="K14" s="142"/>
      <c r="L14" s="318"/>
      <c r="M14" s="271"/>
      <c r="N14" s="272"/>
      <c r="O14" s="271"/>
    </row>
    <row r="15" spans="1:15" ht="29" customHeight="1">
      <c r="A15" s="152" t="s">
        <v>91</v>
      </c>
      <c r="B15" s="153" t="s">
        <v>92</v>
      </c>
      <c r="C15" s="154"/>
      <c r="D15" s="155"/>
      <c r="E15" s="156">
        <f>E16+E20</f>
        <v>3590000000</v>
      </c>
      <c r="F15" s="157"/>
      <c r="G15" s="157"/>
      <c r="H15" s="156">
        <f>H16+H20+H23</f>
        <v>37260000000</v>
      </c>
      <c r="I15" s="156"/>
      <c r="J15" s="156">
        <f t="shared" ref="J15" si="0">J16+J20+J23</f>
        <v>56850000000</v>
      </c>
      <c r="K15" s="157"/>
      <c r="L15" s="320"/>
      <c r="M15" s="269"/>
      <c r="N15" s="270"/>
      <c r="O15" s="271"/>
    </row>
    <row r="16" spans="1:15" ht="18" customHeight="1">
      <c r="A16" s="159" t="s">
        <v>93</v>
      </c>
      <c r="B16" s="160" t="s">
        <v>94</v>
      </c>
      <c r="C16" s="160"/>
      <c r="D16" s="161"/>
      <c r="E16" s="162">
        <f>SUM(E17:E19)</f>
        <v>3050000000</v>
      </c>
      <c r="F16" s="163">
        <f>E16/E15</f>
        <v>0.84958217270194991</v>
      </c>
      <c r="G16" s="163"/>
      <c r="H16" s="162">
        <f>SUM(H17:H19)</f>
        <v>22080000000</v>
      </c>
      <c r="I16" s="164">
        <f>H16/H14</f>
        <v>0.59259259259259256</v>
      </c>
      <c r="J16" s="162">
        <f>SUM(J17:J19)</f>
        <v>30450000000</v>
      </c>
      <c r="K16" s="170"/>
      <c r="L16" s="341">
        <f>SUM(L17:L19)</f>
        <v>3000</v>
      </c>
      <c r="M16" s="273">
        <f>SUM(M17:M19)</f>
        <v>22400</v>
      </c>
      <c r="N16" s="274">
        <f>SUM(N17:N19)</f>
        <v>31000</v>
      </c>
      <c r="O16" s="344"/>
    </row>
    <row r="17" spans="1:15" ht="18" customHeight="1">
      <c r="A17" s="159"/>
      <c r="B17" s="167" t="s">
        <v>95</v>
      </c>
      <c r="C17" s="167"/>
      <c r="D17" s="168"/>
      <c r="E17" s="169">
        <f>O17*L17</f>
        <v>2100000000</v>
      </c>
      <c r="F17" s="170"/>
      <c r="G17" s="170"/>
      <c r="H17" s="171">
        <f>M17*O17</f>
        <v>8400000000</v>
      </c>
      <c r="I17" s="164"/>
      <c r="J17" s="171">
        <f>N17*O17</f>
        <v>10500000000</v>
      </c>
      <c r="K17" s="170"/>
      <c r="L17" s="321">
        <v>2000</v>
      </c>
      <c r="M17" s="271">
        <f>80*10*10</f>
        <v>8000</v>
      </c>
      <c r="N17" s="272">
        <f>100*10*10</f>
        <v>10000</v>
      </c>
      <c r="O17" s="344">
        <v>1050000</v>
      </c>
    </row>
    <row r="18" spans="1:15" ht="18" customHeight="1">
      <c r="A18" s="159"/>
      <c r="B18" s="167" t="s">
        <v>96</v>
      </c>
      <c r="C18" s="167"/>
      <c r="D18" s="168"/>
      <c r="E18" s="169">
        <f>O18*L18</f>
        <v>475000000</v>
      </c>
      <c r="F18" s="170"/>
      <c r="G18" s="170"/>
      <c r="H18" s="171">
        <f>M18*O18</f>
        <v>11400000000</v>
      </c>
      <c r="I18" s="164"/>
      <c r="J18" s="171">
        <f>N18*O18</f>
        <v>14250000000</v>
      </c>
      <c r="K18" s="170"/>
      <c r="L18" s="321">
        <v>500</v>
      </c>
      <c r="M18" s="271">
        <f>50*12*20</f>
        <v>12000</v>
      </c>
      <c r="N18" s="272">
        <f>50*12*25</f>
        <v>15000</v>
      </c>
      <c r="O18" s="344">
        <v>950000</v>
      </c>
    </row>
    <row r="19" spans="1:15" ht="18" customHeight="1">
      <c r="A19" s="159"/>
      <c r="B19" s="167" t="s">
        <v>97</v>
      </c>
      <c r="C19" s="167"/>
      <c r="D19" s="168"/>
      <c r="E19" s="169">
        <f>O19*L19</f>
        <v>475000000</v>
      </c>
      <c r="F19" s="170"/>
      <c r="G19" s="170"/>
      <c r="H19" s="171">
        <f>M19*O19</f>
        <v>2280000000</v>
      </c>
      <c r="I19" s="164"/>
      <c r="J19" s="171">
        <f>N19*O19</f>
        <v>5700000000</v>
      </c>
      <c r="K19" s="170"/>
      <c r="L19" s="321">
        <v>500</v>
      </c>
      <c r="M19" s="271">
        <f>200*12</f>
        <v>2400</v>
      </c>
      <c r="N19" s="272">
        <f>500*12</f>
        <v>6000</v>
      </c>
      <c r="O19" s="344">
        <v>950000</v>
      </c>
    </row>
    <row r="20" spans="1:15" ht="18" customHeight="1">
      <c r="A20" s="159">
        <v>1.2</v>
      </c>
      <c r="B20" s="160" t="s">
        <v>98</v>
      </c>
      <c r="C20" s="160"/>
      <c r="D20" s="161"/>
      <c r="E20" s="162">
        <f>270000*2000</f>
        <v>540000000</v>
      </c>
      <c r="F20" s="163">
        <f>E20/E15</f>
        <v>0.15041782729805014</v>
      </c>
      <c r="G20" s="163"/>
      <c r="H20" s="162">
        <f>SUM(H21:H22)</f>
        <v>11880000000</v>
      </c>
      <c r="I20" s="162">
        <f>H20/H14</f>
        <v>0.3188405797101449</v>
      </c>
      <c r="J20" s="162">
        <f t="shared" ref="J20" si="1">SUM(J21:J22)</f>
        <v>19800000000</v>
      </c>
      <c r="K20" s="170"/>
      <c r="L20" s="341">
        <f>SUM(L21:L22)</f>
        <v>2000</v>
      </c>
      <c r="M20" s="273">
        <f>SUM(M21:M22)</f>
        <v>36000</v>
      </c>
      <c r="N20" s="273">
        <f>SUM(N21:N22)</f>
        <v>60000</v>
      </c>
      <c r="O20" s="344"/>
    </row>
    <row r="21" spans="1:15" ht="18" customHeight="1">
      <c r="A21" s="172"/>
      <c r="B21" s="167" t="s">
        <v>96</v>
      </c>
      <c r="C21" s="173"/>
      <c r="D21" s="174"/>
      <c r="E21" s="175">
        <f>L21*O21</f>
        <v>165000000</v>
      </c>
      <c r="F21" s="176"/>
      <c r="G21" s="176"/>
      <c r="H21" s="177">
        <f>M21*O21</f>
        <v>7920000000</v>
      </c>
      <c r="I21" s="178"/>
      <c r="J21" s="177">
        <f>N21*O21</f>
        <v>11880000000</v>
      </c>
      <c r="K21" s="176"/>
      <c r="L21" s="321">
        <v>500</v>
      </c>
      <c r="M21" s="271">
        <f>200*10*12</f>
        <v>24000</v>
      </c>
      <c r="N21" s="272">
        <f>200*15*12</f>
        <v>36000</v>
      </c>
      <c r="O21" s="344">
        <v>330000</v>
      </c>
    </row>
    <row r="22" spans="1:15" ht="18" customHeight="1">
      <c r="A22" s="172"/>
      <c r="B22" s="167" t="s">
        <v>97</v>
      </c>
      <c r="C22" s="173"/>
      <c r="D22" s="174"/>
      <c r="E22" s="175">
        <f>L22*O22</f>
        <v>495000000</v>
      </c>
      <c r="F22" s="176"/>
      <c r="G22" s="176"/>
      <c r="H22" s="177">
        <f>M22*O22</f>
        <v>3960000000</v>
      </c>
      <c r="I22" s="178"/>
      <c r="J22" s="177">
        <f>N22*O22</f>
        <v>7920000000</v>
      </c>
      <c r="K22" s="176"/>
      <c r="L22" s="321">
        <v>1500</v>
      </c>
      <c r="M22" s="271">
        <f>12*1000</f>
        <v>12000</v>
      </c>
      <c r="N22" s="272">
        <f>12*2000</f>
        <v>24000</v>
      </c>
      <c r="O22" s="344">
        <v>330000</v>
      </c>
    </row>
    <row r="23" spans="1:15" ht="18" customHeight="1">
      <c r="A23" s="179" t="s">
        <v>99</v>
      </c>
      <c r="B23" s="180" t="s">
        <v>100</v>
      </c>
      <c r="C23" s="180"/>
      <c r="D23" s="181"/>
      <c r="E23" s="182"/>
      <c r="F23" s="183"/>
      <c r="G23" s="183"/>
      <c r="H23" s="184">
        <f>M23*O23</f>
        <v>3300000000</v>
      </c>
      <c r="I23" s="185"/>
      <c r="J23" s="184">
        <f>N23*O23</f>
        <v>6600000000</v>
      </c>
      <c r="K23" s="183"/>
      <c r="L23" s="322"/>
      <c r="M23" s="273">
        <v>10000</v>
      </c>
      <c r="N23" s="274">
        <v>20000</v>
      </c>
      <c r="O23" s="344">
        <v>330000</v>
      </c>
    </row>
    <row r="24" spans="1:15" ht="33" customHeight="1">
      <c r="A24" s="137" t="s">
        <v>70</v>
      </c>
      <c r="B24" s="138" t="s">
        <v>101</v>
      </c>
      <c r="C24" s="139"/>
      <c r="D24" s="151"/>
      <c r="E24" s="141">
        <f>SUM(E25,E46)</f>
        <v>5931950000</v>
      </c>
      <c r="F24" s="142">
        <f>E24/E15</f>
        <v>1.6523537604456824</v>
      </c>
      <c r="G24" s="142"/>
      <c r="H24" s="141">
        <f>SUM(H25,H46)</f>
        <v>34105800000</v>
      </c>
      <c r="I24" s="143">
        <f>H24/H14</f>
        <v>0.9153462157809984</v>
      </c>
      <c r="J24" s="141">
        <f>SUM(J25,J46)</f>
        <v>49521000000</v>
      </c>
      <c r="K24" s="142"/>
      <c r="L24" s="318"/>
      <c r="M24" s="271"/>
      <c r="N24" s="272"/>
      <c r="O24" s="271"/>
    </row>
    <row r="25" spans="1:15" ht="30" customHeight="1">
      <c r="A25" s="186">
        <v>1</v>
      </c>
      <c r="B25" s="153" t="s">
        <v>102</v>
      </c>
      <c r="C25" s="154"/>
      <c r="D25" s="155"/>
      <c r="E25" s="156">
        <f>SUM(E26,E31,E38,E42,E44)</f>
        <v>2456950000</v>
      </c>
      <c r="F25" s="157">
        <f>E25/E15</f>
        <v>0.68438718662952647</v>
      </c>
      <c r="G25" s="157">
        <f>E25/E24</f>
        <v>0.4141892632271007</v>
      </c>
      <c r="H25" s="156">
        <f>SUM(H26,H31,H38,H42,H44)</f>
        <v>9801600000</v>
      </c>
      <c r="I25" s="158"/>
      <c r="J25" s="156">
        <f>SUM(J26,J31,J38,J42,J44)</f>
        <v>15185500000</v>
      </c>
      <c r="K25" s="157"/>
      <c r="L25" s="320"/>
      <c r="M25" s="271"/>
      <c r="N25" s="272"/>
      <c r="O25" s="271"/>
    </row>
    <row r="26" spans="1:15" s="195" customFormat="1" ht="18" customHeight="1">
      <c r="A26" s="187" t="s">
        <v>93</v>
      </c>
      <c r="B26" s="188" t="s">
        <v>103</v>
      </c>
      <c r="C26" s="189"/>
      <c r="D26" s="190"/>
      <c r="E26" s="191">
        <f>10000000*6</f>
        <v>60000000</v>
      </c>
      <c r="F26" s="192">
        <f>E26/E14</f>
        <v>1.6713091922005572E-2</v>
      </c>
      <c r="G26" s="192"/>
      <c r="H26" s="191">
        <f>25000000*12</f>
        <v>300000000</v>
      </c>
      <c r="I26" s="193">
        <f>H26/H14</f>
        <v>8.0515297906602248E-3</v>
      </c>
      <c r="J26" s="191">
        <f>350000000*12</f>
        <v>4200000000</v>
      </c>
      <c r="K26" s="192">
        <f>J26/J14</f>
        <v>7.3878627968337732E-2</v>
      </c>
      <c r="L26" s="323"/>
      <c r="M26" s="275"/>
      <c r="N26" s="276"/>
      <c r="O26" s="275"/>
    </row>
    <row r="27" spans="1:15" ht="18" customHeight="1">
      <c r="A27" s="196" t="s">
        <v>53</v>
      </c>
      <c r="B27" s="197" t="s">
        <v>54</v>
      </c>
      <c r="C27" s="160"/>
      <c r="D27" s="161"/>
      <c r="E27" s="165"/>
      <c r="F27" s="170"/>
      <c r="G27" s="170"/>
      <c r="H27" s="165"/>
      <c r="I27" s="164"/>
      <c r="J27" s="165"/>
      <c r="K27" s="170"/>
      <c r="L27" s="324"/>
    </row>
    <row r="28" spans="1:15" ht="18" customHeight="1">
      <c r="A28" s="196" t="s">
        <v>53</v>
      </c>
      <c r="B28" s="198" t="s">
        <v>75</v>
      </c>
      <c r="C28" s="160"/>
      <c r="D28" s="161"/>
      <c r="E28" s="165"/>
      <c r="F28" s="170"/>
      <c r="G28" s="170"/>
      <c r="H28" s="165"/>
      <c r="I28" s="164"/>
      <c r="J28" s="165"/>
      <c r="K28" s="170"/>
      <c r="L28" s="324"/>
    </row>
    <row r="29" spans="1:15" ht="18" customHeight="1">
      <c r="A29" s="196" t="s">
        <v>53</v>
      </c>
      <c r="B29" s="197" t="s">
        <v>62</v>
      </c>
      <c r="C29" s="160"/>
      <c r="D29" s="161"/>
      <c r="E29" s="165"/>
      <c r="F29" s="170"/>
      <c r="G29" s="170"/>
      <c r="H29" s="165"/>
      <c r="I29" s="164"/>
      <c r="J29" s="165"/>
      <c r="K29" s="170"/>
      <c r="L29" s="324"/>
    </row>
    <row r="30" spans="1:15" ht="18" customHeight="1">
      <c r="A30" s="196" t="s">
        <v>53</v>
      </c>
      <c r="B30" s="197" t="s">
        <v>76</v>
      </c>
      <c r="C30" s="160"/>
      <c r="D30" s="161"/>
      <c r="E30" s="165"/>
      <c r="F30" s="170"/>
      <c r="G30" s="170"/>
      <c r="H30" s="165"/>
      <c r="I30" s="164"/>
      <c r="J30" s="165"/>
      <c r="K30" s="170"/>
      <c r="L30" s="324"/>
    </row>
    <row r="31" spans="1:15" s="195" customFormat="1" ht="18" customHeight="1">
      <c r="A31" s="199" t="s">
        <v>104</v>
      </c>
      <c r="B31" s="200" t="s">
        <v>105</v>
      </c>
      <c r="C31" s="201"/>
      <c r="D31" s="202"/>
      <c r="E31" s="203">
        <f>11*10000000*6</f>
        <v>660000000</v>
      </c>
      <c r="F31" s="204">
        <f>E31/E14</f>
        <v>0.18384401114206128</v>
      </c>
      <c r="G31" s="204"/>
      <c r="H31" s="203">
        <f>10000000*20*12</f>
        <v>2400000000</v>
      </c>
      <c r="I31" s="205">
        <f>H31/H14</f>
        <v>6.4412238325281798E-2</v>
      </c>
      <c r="J31" s="203">
        <f>11000000*22*12</f>
        <v>2904000000</v>
      </c>
      <c r="K31" s="204">
        <f>J31/J14</f>
        <v>5.1081794195250663E-2</v>
      </c>
      <c r="L31" s="325"/>
      <c r="M31" s="194"/>
      <c r="O31" s="194"/>
    </row>
    <row r="32" spans="1:15" ht="18" customHeight="1">
      <c r="A32" s="206" t="s">
        <v>53</v>
      </c>
      <c r="B32" s="207" t="s">
        <v>55</v>
      </c>
      <c r="C32" s="208"/>
      <c r="D32" s="209"/>
      <c r="E32" s="210">
        <f>SUM(E33:E34)</f>
        <v>0</v>
      </c>
      <c r="F32" s="211"/>
      <c r="G32" s="211"/>
      <c r="H32" s="210">
        <f>SUM(H33:H34)</f>
        <v>0</v>
      </c>
      <c r="I32" s="212"/>
      <c r="J32" s="210">
        <f>SUM(J33:J34)</f>
        <v>0</v>
      </c>
      <c r="K32" s="211"/>
      <c r="L32" s="326"/>
    </row>
    <row r="33" spans="1:25" ht="18" customHeight="1">
      <c r="A33" s="159" t="s">
        <v>56</v>
      </c>
      <c r="B33" s="197" t="s">
        <v>57</v>
      </c>
      <c r="C33" s="160"/>
      <c r="D33" s="161"/>
      <c r="E33" s="165"/>
      <c r="F33" s="170"/>
      <c r="G33" s="170"/>
      <c r="H33" s="165"/>
      <c r="I33" s="164"/>
      <c r="J33" s="165"/>
      <c r="K33" s="170"/>
      <c r="L33" s="324"/>
    </row>
    <row r="34" spans="1:25" ht="18" customHeight="1">
      <c r="A34" s="159" t="s">
        <v>56</v>
      </c>
      <c r="B34" s="197" t="s">
        <v>58</v>
      </c>
      <c r="C34" s="160"/>
      <c r="D34" s="161"/>
      <c r="E34" s="165"/>
      <c r="F34" s="170"/>
      <c r="G34" s="170"/>
      <c r="H34" s="165"/>
      <c r="I34" s="164"/>
      <c r="J34" s="165"/>
      <c r="K34" s="170"/>
      <c r="L34" s="324"/>
    </row>
    <row r="35" spans="1:25" ht="18" customHeight="1">
      <c r="A35" s="213" t="s">
        <v>53</v>
      </c>
      <c r="B35" s="207" t="s">
        <v>59</v>
      </c>
      <c r="C35" s="208"/>
      <c r="D35" s="209"/>
      <c r="E35" s="162"/>
      <c r="F35" s="163"/>
      <c r="G35" s="163"/>
      <c r="H35" s="162"/>
      <c r="I35" s="214"/>
      <c r="J35" s="162"/>
      <c r="K35" s="163"/>
      <c r="L35" s="327"/>
    </row>
    <row r="36" spans="1:25" ht="18" customHeight="1">
      <c r="A36" s="213" t="s">
        <v>53</v>
      </c>
      <c r="B36" s="207" t="s">
        <v>60</v>
      </c>
      <c r="C36" s="208"/>
      <c r="D36" s="209"/>
      <c r="E36" s="162"/>
      <c r="F36" s="163"/>
      <c r="G36" s="163"/>
      <c r="H36" s="162"/>
      <c r="I36" s="214"/>
      <c r="J36" s="162"/>
      <c r="K36" s="163"/>
      <c r="L36" s="327"/>
    </row>
    <row r="37" spans="1:25" ht="18" customHeight="1">
      <c r="A37" s="213" t="s">
        <v>53</v>
      </c>
      <c r="B37" s="207" t="s">
        <v>61</v>
      </c>
      <c r="C37" s="208"/>
      <c r="D37" s="209"/>
      <c r="E37" s="162"/>
      <c r="F37" s="163"/>
      <c r="G37" s="163"/>
      <c r="H37" s="162"/>
      <c r="I37" s="214"/>
      <c r="J37" s="162"/>
      <c r="K37" s="163"/>
      <c r="L37" s="327"/>
    </row>
    <row r="38" spans="1:25" s="195" customFormat="1" ht="18" customHeight="1">
      <c r="A38" s="187" t="s">
        <v>99</v>
      </c>
      <c r="B38" s="188" t="s">
        <v>106</v>
      </c>
      <c r="C38" s="189"/>
      <c r="D38" s="190"/>
      <c r="E38" s="191">
        <f>F38*(E18+E19+E20)</f>
        <v>1042999999.9999999</v>
      </c>
      <c r="F38" s="192">
        <v>0.7</v>
      </c>
      <c r="G38" s="192"/>
      <c r="H38" s="191">
        <f>I38*H15</f>
        <v>5589000000</v>
      </c>
      <c r="I38" s="193">
        <v>0.15</v>
      </c>
      <c r="J38" s="191">
        <f>K38*J15</f>
        <v>6253500000</v>
      </c>
      <c r="K38" s="192">
        <v>0.11</v>
      </c>
      <c r="L38" s="328"/>
      <c r="M38" s="194"/>
      <c r="O38" s="194"/>
    </row>
    <row r="39" spans="1:25" ht="18" customHeight="1">
      <c r="A39" s="215" t="s">
        <v>53</v>
      </c>
      <c r="B39" s="197" t="s">
        <v>63</v>
      </c>
      <c r="C39" s="160"/>
      <c r="D39" s="161"/>
      <c r="E39" s="165"/>
      <c r="F39" s="170"/>
      <c r="G39" s="170"/>
      <c r="H39" s="165"/>
      <c r="I39" s="164"/>
      <c r="J39" s="165"/>
      <c r="K39" s="170"/>
      <c r="L39" s="324"/>
    </row>
    <row r="40" spans="1:25" ht="18" customHeight="1">
      <c r="A40" s="196" t="s">
        <v>53</v>
      </c>
      <c r="B40" s="197" t="s">
        <v>64</v>
      </c>
      <c r="C40" s="160"/>
      <c r="D40" s="161"/>
      <c r="E40" s="165"/>
      <c r="F40" s="170"/>
      <c r="G40" s="170"/>
      <c r="H40" s="165"/>
      <c r="I40" s="164"/>
      <c r="J40" s="165"/>
      <c r="K40" s="170"/>
      <c r="L40" s="324"/>
    </row>
    <row r="41" spans="1:25" ht="18" customHeight="1">
      <c r="A41" s="196" t="s">
        <v>53</v>
      </c>
      <c r="B41" s="197" t="s">
        <v>65</v>
      </c>
      <c r="C41" s="160"/>
      <c r="D41" s="161"/>
      <c r="E41" s="165"/>
      <c r="F41" s="170"/>
      <c r="G41" s="170"/>
      <c r="H41" s="165"/>
      <c r="I41" s="164"/>
      <c r="J41" s="165"/>
      <c r="K41" s="170"/>
      <c r="L41" s="324"/>
    </row>
    <row r="42" spans="1:25" s="216" customFormat="1" ht="18" customHeight="1">
      <c r="A42" s="187" t="s">
        <v>107</v>
      </c>
      <c r="B42" s="188" t="s">
        <v>108</v>
      </c>
      <c r="C42" s="189"/>
      <c r="D42" s="190"/>
      <c r="E42" s="191">
        <f>F42*E15</f>
        <v>107700000</v>
      </c>
      <c r="F42" s="192">
        <v>0.03</v>
      </c>
      <c r="G42" s="192"/>
      <c r="H42" s="191">
        <f>I42*H14</f>
        <v>372600000</v>
      </c>
      <c r="I42" s="193">
        <v>0.01</v>
      </c>
      <c r="J42" s="191">
        <f>K42*J14</f>
        <v>284250000</v>
      </c>
      <c r="K42" s="192">
        <v>5.0000000000000001E-3</v>
      </c>
      <c r="L42" s="328"/>
      <c r="M42" s="194"/>
      <c r="N42" s="195"/>
      <c r="O42" s="194"/>
      <c r="P42" s="195"/>
      <c r="Q42" s="195"/>
      <c r="R42" s="195"/>
      <c r="S42" s="195"/>
      <c r="T42" s="195"/>
      <c r="U42" s="195"/>
      <c r="V42" s="195"/>
      <c r="W42" s="195"/>
      <c r="X42" s="195"/>
      <c r="Y42" s="195"/>
    </row>
    <row r="43" spans="1:25" s="224" customFormat="1" ht="18" customHeight="1">
      <c r="A43" s="217"/>
      <c r="B43" s="218" t="s">
        <v>65</v>
      </c>
      <c r="C43" s="219"/>
      <c r="D43" s="220"/>
      <c r="E43" s="221"/>
      <c r="F43" s="222"/>
      <c r="G43" s="222"/>
      <c r="H43" s="221"/>
      <c r="I43" s="223"/>
      <c r="J43" s="221"/>
      <c r="K43" s="222"/>
      <c r="L43" s="329"/>
      <c r="M43" s="109"/>
      <c r="N43" s="108"/>
      <c r="O43" s="109"/>
      <c r="P43" s="108"/>
      <c r="Q43" s="108"/>
      <c r="R43" s="108"/>
      <c r="S43" s="108"/>
      <c r="T43" s="108"/>
      <c r="U43" s="108"/>
      <c r="V43" s="108"/>
      <c r="W43" s="108"/>
      <c r="X43" s="108"/>
      <c r="Y43" s="108"/>
    </row>
    <row r="44" spans="1:25" s="224" customFormat="1" ht="31" customHeight="1">
      <c r="A44" s="187" t="s">
        <v>109</v>
      </c>
      <c r="B44" s="225" t="s">
        <v>157</v>
      </c>
      <c r="C44" s="189"/>
      <c r="D44" s="190"/>
      <c r="E44" s="226">
        <f>'Dau tu va phan tich TC'!C8*25%</f>
        <v>586250000</v>
      </c>
      <c r="F44" s="227">
        <f>E44/E14</f>
        <v>0.1633008356545961</v>
      </c>
      <c r="G44" s="227"/>
      <c r="H44" s="226">
        <f>E44+('Dau tu va phan tich TC'!D8*25%)</f>
        <v>1140000000</v>
      </c>
      <c r="I44" s="228">
        <f>H44/H14</f>
        <v>3.0595813204508857E-2</v>
      </c>
      <c r="J44" s="226">
        <f>H44+('Dau tu va phan tich TC'!E8*25%)</f>
        <v>1543750000</v>
      </c>
      <c r="K44" s="227">
        <f>J44/J14</f>
        <v>2.7154793315743185E-2</v>
      </c>
      <c r="L44" s="330"/>
      <c r="M44" s="194"/>
      <c r="N44" s="195"/>
      <c r="O44" s="194"/>
      <c r="P44" s="195"/>
      <c r="Q44" s="195"/>
      <c r="R44" s="195"/>
      <c r="S44" s="195"/>
      <c r="T44" s="195"/>
      <c r="U44" s="195"/>
      <c r="V44" s="195"/>
      <c r="W44" s="195"/>
      <c r="X44" s="195"/>
      <c r="Y44" s="195"/>
    </row>
    <row r="45" spans="1:25" s="224" customFormat="1" ht="30" customHeight="1">
      <c r="A45" s="217"/>
      <c r="B45" s="218" t="s">
        <v>110</v>
      </c>
      <c r="C45" s="219"/>
      <c r="D45" s="220"/>
      <c r="E45" s="220"/>
      <c r="F45" s="222"/>
      <c r="G45" s="222"/>
      <c r="H45" s="220"/>
      <c r="I45" s="223"/>
      <c r="J45" s="220"/>
      <c r="K45" s="222"/>
      <c r="L45" s="329"/>
      <c r="M45" s="109"/>
      <c r="N45" s="108"/>
      <c r="O45" s="109"/>
      <c r="P45" s="108"/>
      <c r="Q45" s="108"/>
      <c r="R45" s="108"/>
      <c r="S45" s="108"/>
      <c r="T45" s="108"/>
      <c r="U45" s="108"/>
      <c r="V45" s="108"/>
      <c r="W45" s="108"/>
      <c r="X45" s="108"/>
      <c r="Y45" s="108"/>
    </row>
    <row r="46" spans="1:25" ht="35" customHeight="1">
      <c r="A46" s="186">
        <v>2</v>
      </c>
      <c r="B46" s="153" t="s">
        <v>111</v>
      </c>
      <c r="C46" s="154"/>
      <c r="D46" s="155"/>
      <c r="E46" s="156">
        <f>SUM(E47,E52,E53,E54,E55)</f>
        <v>3475000000</v>
      </c>
      <c r="F46" s="157">
        <f>E46/E15</f>
        <v>0.96796657381615603</v>
      </c>
      <c r="G46" s="157">
        <f>E46/E24</f>
        <v>0.5858107367728993</v>
      </c>
      <c r="H46" s="156">
        <f>SUM(H47,H52,H53,H54,H55)</f>
        <v>24304200000</v>
      </c>
      <c r="I46" s="158">
        <f>H46/H14</f>
        <v>0.65228663446054747</v>
      </c>
      <c r="J46" s="156">
        <f>SUM(J47,J52,J53,J54,J55)</f>
        <v>34335500000</v>
      </c>
      <c r="K46" s="157"/>
      <c r="L46" s="331"/>
    </row>
    <row r="47" spans="1:25" s="195" customFormat="1" ht="26" customHeight="1">
      <c r="A47" s="187" t="s">
        <v>112</v>
      </c>
      <c r="B47" s="188" t="s">
        <v>66</v>
      </c>
      <c r="C47" s="189"/>
      <c r="D47" s="190"/>
      <c r="E47" s="191">
        <f>SUM(E48:E51)</f>
        <v>1320000000</v>
      </c>
      <c r="F47" s="192">
        <f>E47/E14</f>
        <v>0.36768802228412256</v>
      </c>
      <c r="G47" s="191"/>
      <c r="H47" s="191">
        <f>SUM(H48:H51)</f>
        <v>7988400000</v>
      </c>
      <c r="I47" s="193">
        <f>H47/H14</f>
        <v>0.21439613526570048</v>
      </c>
      <c r="J47" s="191">
        <f>SUM(J48:J51)</f>
        <v>12039500000.000002</v>
      </c>
      <c r="K47" s="192">
        <f>J47/J14</f>
        <v>0.21177660510114341</v>
      </c>
      <c r="L47" s="328"/>
      <c r="M47" s="194"/>
      <c r="O47" s="194"/>
    </row>
    <row r="48" spans="1:25" ht="18" customHeight="1">
      <c r="A48" s="159" t="s">
        <v>53</v>
      </c>
      <c r="B48" s="160" t="s">
        <v>113</v>
      </c>
      <c r="C48" s="160"/>
      <c r="D48" s="161"/>
      <c r="E48" s="165">
        <f>105000*6000</f>
        <v>630000000</v>
      </c>
      <c r="F48" s="170"/>
      <c r="G48" s="170"/>
      <c r="H48" s="165">
        <f>M16*105000*120%</f>
        <v>2822400000</v>
      </c>
      <c r="I48" s="164"/>
      <c r="J48" s="165">
        <f>N16*95000*110%</f>
        <v>3239500000.0000005</v>
      </c>
      <c r="K48" s="170"/>
      <c r="L48" s="324"/>
    </row>
    <row r="49" spans="1:15" ht="18" customHeight="1">
      <c r="A49" s="159" t="s">
        <v>53</v>
      </c>
      <c r="B49" s="160" t="s">
        <v>114</v>
      </c>
      <c r="C49" s="160"/>
      <c r="D49" s="161"/>
      <c r="E49" s="165">
        <f>115000*6000</f>
        <v>690000000</v>
      </c>
      <c r="F49" s="170"/>
      <c r="G49" s="170"/>
      <c r="H49" s="165">
        <f>105000*M20*120%</f>
        <v>4536000000</v>
      </c>
      <c r="I49" s="164"/>
      <c r="J49" s="165">
        <f>N20*100000*110%</f>
        <v>6600000000.000001</v>
      </c>
      <c r="K49" s="170"/>
      <c r="L49" s="324"/>
    </row>
    <row r="50" spans="1:15" ht="18" customHeight="1">
      <c r="A50" s="159" t="s">
        <v>53</v>
      </c>
      <c r="B50" s="160" t="str">
        <f>B23</f>
        <v>Sản phẩm khác</v>
      </c>
      <c r="C50" s="160"/>
      <c r="D50" s="161"/>
      <c r="E50" s="165"/>
      <c r="F50" s="170"/>
      <c r="G50" s="170"/>
      <c r="H50" s="165">
        <f>5000*105000*120%</f>
        <v>630000000</v>
      </c>
      <c r="I50" s="164"/>
      <c r="J50" s="165">
        <f>N23*100000*110%</f>
        <v>2200000000</v>
      </c>
      <c r="K50" s="170"/>
      <c r="L50" s="324"/>
    </row>
    <row r="51" spans="1:15" ht="18" customHeight="1">
      <c r="A51" s="159" t="s">
        <v>53</v>
      </c>
      <c r="B51" s="160" t="s">
        <v>133</v>
      </c>
      <c r="C51" s="160"/>
      <c r="D51" s="161"/>
      <c r="E51" s="165"/>
      <c r="F51" s="170"/>
      <c r="G51" s="170"/>
      <c r="H51" s="165"/>
      <c r="I51" s="164"/>
      <c r="J51" s="165"/>
      <c r="K51" s="170"/>
      <c r="L51" s="324"/>
    </row>
    <row r="52" spans="1:15" s="195" customFormat="1" ht="18" customHeight="1">
      <c r="A52" s="187" t="s">
        <v>115</v>
      </c>
      <c r="B52" s="188" t="s">
        <v>116</v>
      </c>
      <c r="C52" s="189"/>
      <c r="D52" s="190"/>
      <c r="E52" s="229">
        <f>F52*(E19+E22)+5%*(E18+E21)</f>
        <v>129000000</v>
      </c>
      <c r="F52" s="222">
        <v>0.1</v>
      </c>
      <c r="G52" s="230"/>
      <c r="H52" s="229">
        <f>I52*(H19+H22)+5%*(H18+H21+I23)</f>
        <v>1590000000</v>
      </c>
      <c r="I52" s="223">
        <v>0.1</v>
      </c>
      <c r="J52" s="229">
        <f>K52*(J19+J22)+5%*(J18+J21+J23)</f>
        <v>2998500000</v>
      </c>
      <c r="K52" s="230">
        <v>0.1</v>
      </c>
      <c r="L52" s="332"/>
      <c r="M52" s="194"/>
      <c r="O52" s="194"/>
    </row>
    <row r="53" spans="1:15" s="195" customFormat="1" ht="18" customHeight="1">
      <c r="A53" s="187" t="s">
        <v>117</v>
      </c>
      <c r="B53" s="188" t="s">
        <v>118</v>
      </c>
      <c r="C53" s="189"/>
      <c r="D53" s="190"/>
      <c r="E53" s="229">
        <f>F53*(E18+E21)</f>
        <v>256000000</v>
      </c>
      <c r="F53" s="222">
        <v>0.4</v>
      </c>
      <c r="G53" s="230"/>
      <c r="H53" s="229">
        <f>I53*(H18+H21)</f>
        <v>7728000000</v>
      </c>
      <c r="I53" s="223">
        <v>0.4</v>
      </c>
      <c r="J53" s="229">
        <f>K53*(J18+J21)</f>
        <v>10452000000</v>
      </c>
      <c r="K53" s="230">
        <v>0.4</v>
      </c>
      <c r="L53" s="332"/>
      <c r="M53" s="194"/>
      <c r="O53" s="194"/>
    </row>
    <row r="54" spans="1:15" s="195" customFormat="1" ht="18" customHeight="1">
      <c r="A54" s="187">
        <v>2.4</v>
      </c>
      <c r="B54" s="306" t="s">
        <v>119</v>
      </c>
      <c r="C54" s="307"/>
      <c r="D54" s="308"/>
      <c r="E54" s="309">
        <f>F54*E17</f>
        <v>1470000000</v>
      </c>
      <c r="F54" s="310">
        <v>0.7</v>
      </c>
      <c r="G54" s="311"/>
      <c r="H54" s="309">
        <f>I54*H17</f>
        <v>5880000000</v>
      </c>
      <c r="I54" s="312">
        <v>0.7</v>
      </c>
      <c r="J54" s="309">
        <f>K54*J17</f>
        <v>7140000000.000001</v>
      </c>
      <c r="K54" s="311">
        <v>0.68</v>
      </c>
      <c r="L54" s="333"/>
      <c r="M54" s="194"/>
      <c r="O54" s="194"/>
    </row>
    <row r="55" spans="1:15" s="195" customFormat="1" ht="18" customHeight="1">
      <c r="A55" s="187">
        <v>2.5</v>
      </c>
      <c r="B55" s="188" t="s">
        <v>67</v>
      </c>
      <c r="C55" s="189"/>
      <c r="D55" s="190"/>
      <c r="E55" s="229">
        <v>300000000</v>
      </c>
      <c r="F55" s="230">
        <f>E55/E14</f>
        <v>8.3565459610027856E-2</v>
      </c>
      <c r="G55" s="230"/>
      <c r="H55" s="229">
        <f>I55*H14</f>
        <v>1117800000</v>
      </c>
      <c r="I55" s="268">
        <v>0.03</v>
      </c>
      <c r="J55" s="229">
        <f>K55*J14</f>
        <v>1705500000</v>
      </c>
      <c r="K55" s="230">
        <v>0.03</v>
      </c>
      <c r="L55" s="332"/>
      <c r="M55" s="194"/>
      <c r="O55" s="194"/>
    </row>
    <row r="56" spans="1:15" ht="30" customHeight="1">
      <c r="A56" s="231" t="s">
        <v>53</v>
      </c>
      <c r="B56" s="232" t="s">
        <v>68</v>
      </c>
      <c r="C56" s="233"/>
      <c r="D56" s="234"/>
      <c r="E56" s="165"/>
      <c r="F56" s="170"/>
      <c r="G56" s="170"/>
      <c r="H56" s="165"/>
      <c r="I56" s="164"/>
      <c r="J56" s="165"/>
      <c r="K56" s="170"/>
      <c r="L56" s="324"/>
    </row>
    <row r="57" spans="1:15" ht="25" customHeight="1">
      <c r="A57" s="231" t="s">
        <v>53</v>
      </c>
      <c r="B57" s="232" t="s">
        <v>69</v>
      </c>
      <c r="C57" s="233"/>
      <c r="D57" s="234"/>
      <c r="E57" s="165"/>
      <c r="F57" s="170"/>
      <c r="G57" s="170"/>
      <c r="H57" s="165"/>
      <c r="I57" s="164"/>
      <c r="J57" s="165"/>
      <c r="K57" s="170"/>
      <c r="L57" s="324"/>
    </row>
    <row r="58" spans="1:15" s="242" customFormat="1" ht="28" customHeight="1">
      <c r="A58" s="235">
        <v>3</v>
      </c>
      <c r="B58" s="236" t="s">
        <v>120</v>
      </c>
      <c r="C58" s="237"/>
      <c r="D58" s="238"/>
      <c r="E58" s="239">
        <f>E14-E24</f>
        <v>-2341950000</v>
      </c>
      <c r="F58" s="240"/>
      <c r="G58" s="240"/>
      <c r="H58" s="239">
        <f>H14-H24</f>
        <v>3154200000</v>
      </c>
      <c r="I58" s="241">
        <f>H58/H14</f>
        <v>8.4653784219001604E-2</v>
      </c>
      <c r="J58" s="239">
        <f>J14-J24</f>
        <v>7329000000</v>
      </c>
      <c r="K58" s="240"/>
      <c r="L58" s="334"/>
      <c r="M58" s="166"/>
      <c r="O58" s="166"/>
    </row>
    <row r="59" spans="1:15" s="195" customFormat="1" ht="28" customHeight="1">
      <c r="A59" s="186">
        <v>4</v>
      </c>
      <c r="B59" s="153" t="s">
        <v>121</v>
      </c>
      <c r="C59" s="154"/>
      <c r="D59" s="155"/>
      <c r="E59" s="156">
        <f>SUM(E60:E62)</f>
        <v>2000000</v>
      </c>
      <c r="F59" s="157"/>
      <c r="G59" s="157"/>
      <c r="H59" s="156">
        <f>SUM(H60:H62)</f>
        <v>22000000</v>
      </c>
      <c r="I59" s="158"/>
      <c r="J59" s="156">
        <f>SUM(J60:J62)</f>
        <v>103000000</v>
      </c>
      <c r="K59" s="157"/>
      <c r="L59" s="331"/>
      <c r="M59" s="194"/>
      <c r="O59" s="194"/>
    </row>
    <row r="60" spans="1:15" ht="18" customHeight="1">
      <c r="A60" s="159" t="s">
        <v>53</v>
      </c>
      <c r="B60" s="197" t="s">
        <v>122</v>
      </c>
      <c r="C60" s="160"/>
      <c r="D60" s="161"/>
      <c r="E60" s="165"/>
      <c r="F60" s="170"/>
      <c r="G60" s="170"/>
      <c r="H60" s="165"/>
      <c r="I60" s="164"/>
      <c r="J60" s="165"/>
      <c r="K60" s="170"/>
      <c r="L60" s="324"/>
    </row>
    <row r="61" spans="1:15" ht="18" customHeight="1">
      <c r="A61" s="159" t="s">
        <v>53</v>
      </c>
      <c r="B61" s="197" t="s">
        <v>123</v>
      </c>
      <c r="C61" s="160"/>
      <c r="D61" s="161"/>
      <c r="E61" s="165">
        <v>2000000</v>
      </c>
      <c r="F61" s="170"/>
      <c r="G61" s="170"/>
      <c r="H61" s="165">
        <v>2000000</v>
      </c>
      <c r="I61" s="164"/>
      <c r="J61" s="165">
        <v>3000000</v>
      </c>
      <c r="K61" s="170"/>
      <c r="L61" s="324"/>
    </row>
    <row r="62" spans="1:15" ht="18" customHeight="1">
      <c r="A62" s="179" t="s">
        <v>53</v>
      </c>
      <c r="B62" s="243" t="s">
        <v>124</v>
      </c>
      <c r="C62" s="244"/>
      <c r="D62" s="245"/>
      <c r="E62" s="246"/>
      <c r="F62" s="247"/>
      <c r="G62" s="247"/>
      <c r="H62" s="246">
        <v>20000000</v>
      </c>
      <c r="I62" s="248"/>
      <c r="J62" s="246">
        <v>100000000</v>
      </c>
      <c r="K62" s="247"/>
      <c r="L62" s="335"/>
    </row>
    <row r="63" spans="1:15" s="242" customFormat="1" ht="31" customHeight="1">
      <c r="A63" s="249" t="s">
        <v>71</v>
      </c>
      <c r="B63" s="250" t="s">
        <v>125</v>
      </c>
      <c r="C63" s="251"/>
      <c r="D63" s="252"/>
      <c r="E63" s="253">
        <f>E58-E59</f>
        <v>-2343950000</v>
      </c>
      <c r="F63" s="254"/>
      <c r="G63" s="254"/>
      <c r="H63" s="253">
        <f>H58-H59</f>
        <v>3132200000</v>
      </c>
      <c r="I63" s="255">
        <f>H63/H14</f>
        <v>8.4063338701019855E-2</v>
      </c>
      <c r="J63" s="253">
        <f>J58-J59</f>
        <v>7226000000</v>
      </c>
      <c r="K63" s="254">
        <f>J63/J14</f>
        <v>0.12710642040457343</v>
      </c>
      <c r="L63" s="336"/>
      <c r="M63" s="166"/>
      <c r="O63" s="166"/>
    </row>
    <row r="64" spans="1:15" s="242" customFormat="1" ht="18" customHeight="1">
      <c r="A64" s="354" t="s">
        <v>77</v>
      </c>
      <c r="B64" s="355" t="s">
        <v>126</v>
      </c>
      <c r="C64" s="356"/>
      <c r="D64" s="357"/>
      <c r="E64" s="358">
        <f>E44</f>
        <v>586250000</v>
      </c>
      <c r="F64" s="358"/>
      <c r="G64" s="358"/>
      <c r="H64" s="358">
        <f t="shared" ref="H64:J64" si="2">H44</f>
        <v>1140000000</v>
      </c>
      <c r="I64" s="358">
        <f t="shared" si="2"/>
        <v>3.0595813204508857E-2</v>
      </c>
      <c r="J64" s="358">
        <f t="shared" si="2"/>
        <v>1543750000</v>
      </c>
      <c r="K64" s="350"/>
      <c r="L64" s="337"/>
      <c r="M64" s="166"/>
      <c r="O64" s="166"/>
    </row>
    <row r="65" spans="1:15" ht="18" customHeight="1">
      <c r="A65" s="345" t="s">
        <v>127</v>
      </c>
      <c r="B65" s="359" t="s">
        <v>128</v>
      </c>
      <c r="C65" s="360"/>
      <c r="D65" s="361"/>
      <c r="E65" s="362">
        <v>0</v>
      </c>
      <c r="F65" s="363"/>
      <c r="G65" s="363"/>
      <c r="H65" s="362">
        <v>0</v>
      </c>
      <c r="I65" s="364"/>
      <c r="J65" s="362">
        <v>0</v>
      </c>
      <c r="K65" s="351"/>
      <c r="L65" s="338"/>
    </row>
    <row r="66" spans="1:15" s="242" customFormat="1" ht="18" customHeight="1">
      <c r="A66" s="345" t="s">
        <v>161</v>
      </c>
      <c r="B66" s="272" t="s">
        <v>160</v>
      </c>
      <c r="C66" s="346"/>
      <c r="D66" s="347"/>
      <c r="E66" s="347">
        <f>SUM(E63:E65)</f>
        <v>-1757700000</v>
      </c>
      <c r="F66" s="348"/>
      <c r="G66" s="348"/>
      <c r="H66" s="347">
        <f>SUM(H63:H65)</f>
        <v>4272200000</v>
      </c>
      <c r="I66" s="349"/>
      <c r="J66" s="347">
        <f>SUM(J63:J65)</f>
        <v>8769750000</v>
      </c>
      <c r="K66" s="352"/>
      <c r="L66" s="326"/>
      <c r="M66" s="166"/>
      <c r="O66" s="166"/>
    </row>
    <row r="67" spans="1:15" ht="18" customHeight="1">
      <c r="A67" s="345" t="s">
        <v>162</v>
      </c>
      <c r="B67" s="272" t="s">
        <v>159</v>
      </c>
      <c r="C67" s="346"/>
      <c r="D67" s="347">
        <f>D66-D12</f>
        <v>-4318350000</v>
      </c>
      <c r="E67" s="347">
        <f>D67+E66</f>
        <v>-6076050000</v>
      </c>
      <c r="F67" s="348"/>
      <c r="G67" s="348"/>
      <c r="H67" s="347">
        <f>E67+H66</f>
        <v>-1803850000</v>
      </c>
      <c r="I67" s="349"/>
      <c r="J67" s="347">
        <f>H67+J66</f>
        <v>6965900000</v>
      </c>
      <c r="K67" s="353"/>
    </row>
    <row r="68" spans="1:15" ht="18" customHeight="1">
      <c r="A68" s="345" t="s">
        <v>142</v>
      </c>
      <c r="B68" s="272" t="s">
        <v>158</v>
      </c>
      <c r="C68" s="346"/>
      <c r="D68" s="347"/>
      <c r="E68" s="347">
        <v>12</v>
      </c>
      <c r="F68" s="348"/>
      <c r="G68" s="348"/>
      <c r="H68" s="347">
        <v>12</v>
      </c>
      <c r="I68" s="349"/>
      <c r="J68" s="347">
        <f>(J66-J67)*12/J66</f>
        <v>2.4682801676216539</v>
      </c>
    </row>
    <row r="69" spans="1:15" ht="18" customHeight="1">
      <c r="A69" s="256"/>
      <c r="J69" s="257"/>
    </row>
    <row r="70" spans="1:15">
      <c r="B70" s="258" t="s">
        <v>72</v>
      </c>
      <c r="C70" s="259"/>
      <c r="D70" s="260"/>
      <c r="E70" s="260"/>
      <c r="F70" s="261"/>
      <c r="G70" s="261"/>
      <c r="H70" s="260"/>
      <c r="I70" s="262"/>
      <c r="J70" s="260" t="s">
        <v>73</v>
      </c>
      <c r="K70" s="261"/>
      <c r="L70" s="340"/>
    </row>
    <row r="71" spans="1:15">
      <c r="B71" s="258"/>
      <c r="C71" s="259"/>
      <c r="D71" s="260"/>
      <c r="E71" s="260"/>
      <c r="F71" s="261"/>
      <c r="G71" s="261"/>
      <c r="H71" s="260"/>
      <c r="I71" s="262"/>
      <c r="J71" s="260"/>
      <c r="K71" s="261"/>
      <c r="L71" s="340"/>
    </row>
    <row r="72" spans="1:15">
      <c r="B72" s="258"/>
      <c r="C72" s="259"/>
      <c r="D72" s="260"/>
      <c r="E72" s="260"/>
      <c r="F72" s="261"/>
      <c r="G72" s="261"/>
      <c r="H72" s="260"/>
      <c r="I72" s="262"/>
      <c r="J72" s="260"/>
      <c r="K72" s="261"/>
      <c r="L72" s="340"/>
    </row>
  </sheetData>
  <mergeCells count="13">
    <mergeCell ref="C4:J4"/>
    <mergeCell ref="C5:J5"/>
    <mergeCell ref="C6:J6"/>
    <mergeCell ref="A8:J8"/>
    <mergeCell ref="A1:B1"/>
    <mergeCell ref="A2:B2"/>
    <mergeCell ref="A3:B3"/>
    <mergeCell ref="A4:B4"/>
    <mergeCell ref="A5:B5"/>
    <mergeCell ref="A6:B6"/>
    <mergeCell ref="C1:J1"/>
    <mergeCell ref="C2:J2"/>
    <mergeCell ref="C3:J3"/>
  </mergeCells>
  <phoneticPr fontId="2" type="noConversion"/>
  <pageMargins left="0.70866141732283472" right="0.70866141732283472" top="0.98425196850393704" bottom="0.78740157480314965" header="0" footer="0"/>
  <pageSetup paperSize="9" scale="62" fitToHeight="0" orientation="landscape" r:id="rId1"/>
  <headerFooter alignWithMargins="0">
    <oddHeader>&amp;L&amp;G</oddHeader>
    <oddFooter>&amp;R&amp;G</oddFooter>
  </headerFooter>
  <cellWatches>
    <cellWatch r="C49"/>
  </cellWatches>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F33"/>
  <sheetViews>
    <sheetView topLeftCell="A3" workbookViewId="0">
      <selection activeCell="C9" sqref="C9"/>
    </sheetView>
  </sheetViews>
  <sheetFormatPr baseColWidth="10" defaultColWidth="10.6640625" defaultRowHeight="13"/>
  <cols>
    <col min="1" max="1" width="5" customWidth="1"/>
    <col min="2" max="2" width="31.1640625" customWidth="1"/>
    <col min="3" max="3" width="15.33203125" style="280" customWidth="1"/>
    <col min="4" max="4" width="16" style="280" customWidth="1"/>
    <col min="5" max="5" width="14.83203125" style="280" customWidth="1"/>
    <col min="6" max="6" width="15.83203125" style="280" customWidth="1"/>
    <col min="7" max="7" width="18.33203125" bestFit="1" customWidth="1"/>
  </cols>
  <sheetData>
    <row r="2" spans="1:6" ht="28" customHeight="1">
      <c r="A2" s="369" t="s">
        <v>172</v>
      </c>
    </row>
    <row r="4" spans="1:6">
      <c r="E4" s="280" t="s">
        <v>137</v>
      </c>
      <c r="F4"/>
    </row>
    <row r="5" spans="1:6">
      <c r="E5" s="281"/>
      <c r="F5" t="s">
        <v>138</v>
      </c>
    </row>
    <row r="7" spans="1:6" ht="30" customHeight="1">
      <c r="A7" s="299" t="s">
        <v>47</v>
      </c>
      <c r="B7" s="299" t="s">
        <v>48</v>
      </c>
      <c r="C7" s="300">
        <v>2019</v>
      </c>
      <c r="D7" s="300">
        <v>2020</v>
      </c>
      <c r="E7" s="300">
        <v>2021</v>
      </c>
      <c r="F7" s="300">
        <v>2022</v>
      </c>
    </row>
    <row r="8" spans="1:6" s="279" customFormat="1" ht="21" customHeight="1">
      <c r="A8" s="282">
        <v>1</v>
      </c>
      <c r="B8" s="282" t="s">
        <v>141</v>
      </c>
      <c r="C8" s="283">
        <f>SUM(C9:C14)</f>
        <v>2345000000</v>
      </c>
      <c r="D8" s="283">
        <f>SUM(D9:D14)</f>
        <v>2215000000</v>
      </c>
      <c r="E8" s="283">
        <f t="shared" ref="E8:F8" si="0">SUM(E9:E14)</f>
        <v>1615000000</v>
      </c>
      <c r="F8" s="283">
        <f t="shared" si="0"/>
        <v>0</v>
      </c>
    </row>
    <row r="9" spans="1:6" ht="18" customHeight="1">
      <c r="A9" s="285">
        <v>1.1000000000000001</v>
      </c>
      <c r="B9" s="285" t="s">
        <v>136</v>
      </c>
      <c r="C9" s="286">
        <v>2000000000</v>
      </c>
      <c r="D9" s="286">
        <v>1000000000</v>
      </c>
      <c r="E9" s="286">
        <v>1000000000</v>
      </c>
      <c r="F9" s="286"/>
    </row>
    <row r="10" spans="1:6" ht="18" customHeight="1">
      <c r="A10" s="287">
        <v>1.2</v>
      </c>
      <c r="B10" s="287" t="s">
        <v>139</v>
      </c>
      <c r="C10" s="296">
        <v>220000000</v>
      </c>
      <c r="D10" s="296">
        <v>250000000</v>
      </c>
      <c r="E10" s="296">
        <v>250000000</v>
      </c>
      <c r="F10" s="296"/>
    </row>
    <row r="11" spans="1:6" ht="18" customHeight="1">
      <c r="A11" s="287">
        <v>1.3</v>
      </c>
      <c r="B11" s="287" t="s">
        <v>140</v>
      </c>
      <c r="C11" s="296">
        <v>100000000</v>
      </c>
      <c r="D11" s="296">
        <v>200000000</v>
      </c>
      <c r="E11" s="296">
        <v>50000000</v>
      </c>
      <c r="F11" s="296"/>
    </row>
    <row r="12" spans="1:6" ht="18" customHeight="1">
      <c r="A12" s="287">
        <v>1.4</v>
      </c>
      <c r="B12" s="287" t="s">
        <v>146</v>
      </c>
      <c r="C12" s="296">
        <v>25000000</v>
      </c>
      <c r="D12" s="296">
        <v>15000000</v>
      </c>
      <c r="E12" s="296">
        <v>15000000</v>
      </c>
      <c r="F12" s="296"/>
    </row>
    <row r="13" spans="1:6" ht="18" customHeight="1">
      <c r="A13" s="291">
        <v>1.5</v>
      </c>
      <c r="B13" s="291" t="s">
        <v>147</v>
      </c>
      <c r="C13" s="297"/>
      <c r="D13" s="297">
        <v>500000000</v>
      </c>
      <c r="E13" s="297">
        <v>50000000</v>
      </c>
      <c r="F13" s="297"/>
    </row>
    <row r="14" spans="1:6" ht="18" customHeight="1">
      <c r="A14" s="295">
        <v>1.6</v>
      </c>
      <c r="B14" s="295" t="s">
        <v>151</v>
      </c>
      <c r="C14" s="298"/>
      <c r="D14" s="298">
        <v>250000000</v>
      </c>
      <c r="E14" s="298">
        <v>250000000</v>
      </c>
      <c r="F14" s="298"/>
    </row>
    <row r="15" spans="1:6" ht="25" customHeight="1">
      <c r="A15" s="282">
        <v>2</v>
      </c>
      <c r="B15" s="282" t="s">
        <v>143</v>
      </c>
      <c r="C15" s="283">
        <f>SUM(C16:C21)</f>
        <v>1973350000</v>
      </c>
      <c r="D15" s="283">
        <f t="shared" ref="D15:F15" si="1">SUM(D16:D21)</f>
        <v>4297500000</v>
      </c>
      <c r="E15" s="283">
        <f t="shared" si="1"/>
        <v>7514562500</v>
      </c>
      <c r="F15" s="283">
        <f t="shared" si="1"/>
        <v>0</v>
      </c>
    </row>
    <row r="16" spans="1:6" ht="18" customHeight="1">
      <c r="A16" s="293">
        <v>2.1</v>
      </c>
      <c r="B16" s="293" t="s">
        <v>148</v>
      </c>
      <c r="C16" s="294">
        <f>'Phan bo Tai chinh'!E31</f>
        <v>660000000</v>
      </c>
      <c r="D16" s="294">
        <f>'Phan bo Tai chinh'!H31*30%</f>
        <v>720000000</v>
      </c>
      <c r="E16" s="294">
        <f>'Phan bo Tai chinh'!J31*30%</f>
        <v>871200000</v>
      </c>
      <c r="F16" s="294"/>
    </row>
    <row r="17" spans="1:6" ht="18" customHeight="1">
      <c r="A17" s="287">
        <v>2.2000000000000002</v>
      </c>
      <c r="B17" s="287" t="s">
        <v>149</v>
      </c>
      <c r="C17" s="288">
        <f>'Phan bo Tai chinh'!E26</f>
        <v>60000000</v>
      </c>
      <c r="D17" s="288">
        <f>'Phan bo Tai chinh'!H26*30%</f>
        <v>90000000</v>
      </c>
      <c r="E17" s="288">
        <f>'Phan bo Tai chinh'!J26*30%</f>
        <v>1260000000</v>
      </c>
      <c r="F17" s="288"/>
    </row>
    <row r="18" spans="1:6" ht="18" customHeight="1">
      <c r="A18" s="287">
        <v>2.2999999999999998</v>
      </c>
      <c r="B18" s="287" t="s">
        <v>150</v>
      </c>
      <c r="C18" s="288">
        <f>'Phan bo Tai chinh'!E38*50%</f>
        <v>521499999.99999994</v>
      </c>
      <c r="D18" s="288">
        <f>'Phan bo Tai chinh'!H38*20%</f>
        <v>1117800000</v>
      </c>
      <c r="E18" s="288">
        <f>'Phan bo Tai chinh'!J38*30%</f>
        <v>1876050000</v>
      </c>
      <c r="F18" s="288"/>
    </row>
    <row r="19" spans="1:6" ht="18" customHeight="1">
      <c r="A19" s="287">
        <v>2.4</v>
      </c>
      <c r="B19" s="287" t="s">
        <v>144</v>
      </c>
      <c r="C19" s="288">
        <f>'Phan bo Tai chinh'!E47*40%</f>
        <v>528000000</v>
      </c>
      <c r="D19" s="288">
        <f>'Phan bo Tai chinh'!H47*25%</f>
        <v>1997100000</v>
      </c>
      <c r="E19" s="288">
        <f>'Phan bo Tai chinh'!J47*25%</f>
        <v>3009875000.0000005</v>
      </c>
      <c r="F19" s="288"/>
    </row>
    <row r="20" spans="1:6" ht="18" customHeight="1">
      <c r="A20" s="287">
        <v>2.5</v>
      </c>
      <c r="B20" s="287" t="s">
        <v>67</v>
      </c>
      <c r="C20" s="288">
        <f>'Phan bo Tai chinh'!E55*50%</f>
        <v>150000000</v>
      </c>
      <c r="D20" s="288">
        <f>'Phan bo Tai chinh'!H55*25%</f>
        <v>279450000</v>
      </c>
      <c r="E20" s="288">
        <f>'Phan bo Tai chinh'!J55*25%</f>
        <v>426375000</v>
      </c>
      <c r="F20" s="288"/>
    </row>
    <row r="21" spans="1:6" ht="18" customHeight="1">
      <c r="A21" s="287">
        <v>2.6</v>
      </c>
      <c r="B21" s="287" t="s">
        <v>145</v>
      </c>
      <c r="C21" s="288">
        <f>'Phan bo Tai chinh'!E42*50%</f>
        <v>53850000</v>
      </c>
      <c r="D21" s="288">
        <f>'Phan bo Tai chinh'!H42*25%</f>
        <v>93150000</v>
      </c>
      <c r="E21" s="288">
        <f>'Phan bo Tai chinh'!J42*25%</f>
        <v>71062500</v>
      </c>
      <c r="F21" s="288"/>
    </row>
    <row r="22" spans="1:6" ht="18" customHeight="1">
      <c r="A22" s="291"/>
      <c r="B22" s="291"/>
      <c r="C22" s="292"/>
      <c r="D22" s="292"/>
      <c r="E22" s="292"/>
      <c r="F22" s="292"/>
    </row>
    <row r="23" spans="1:6" ht="27" customHeight="1">
      <c r="A23" s="282">
        <v>3</v>
      </c>
      <c r="B23" s="282" t="s">
        <v>164</v>
      </c>
      <c r="C23" s="368">
        <f>C15+C8</f>
        <v>4318350000</v>
      </c>
      <c r="D23" s="283"/>
      <c r="E23" s="283"/>
      <c r="F23" s="283">
        <f t="shared" ref="F23" si="2">F15+F8</f>
        <v>0</v>
      </c>
    </row>
    <row r="24" spans="1:6" ht="29" customHeight="1">
      <c r="A24" s="282">
        <v>4</v>
      </c>
      <c r="B24" s="282" t="s">
        <v>152</v>
      </c>
      <c r="C24" s="284"/>
      <c r="D24" s="284"/>
      <c r="E24" s="284"/>
      <c r="F24" s="284"/>
    </row>
    <row r="25" spans="1:6" ht="18" customHeight="1">
      <c r="A25" s="301"/>
      <c r="B25" s="343" t="s">
        <v>163</v>
      </c>
      <c r="C25" s="367">
        <f>'Phan bo Tai chinh'!J68+'Phan bo Tai chinh'!H68+'Phan bo Tai chinh'!E68</f>
        <v>26.468280167621653</v>
      </c>
      <c r="D25" s="294"/>
      <c r="E25" s="294"/>
      <c r="F25" s="294"/>
    </row>
    <row r="26" spans="1:6" ht="18" customHeight="1">
      <c r="A26" s="287">
        <v>4.0999999999999996</v>
      </c>
      <c r="B26" s="287" t="s">
        <v>153</v>
      </c>
      <c r="C26" s="302">
        <v>0.1</v>
      </c>
      <c r="D26" s="302">
        <v>0.1</v>
      </c>
      <c r="E26" s="302">
        <v>0.1</v>
      </c>
      <c r="F26" s="288"/>
    </row>
    <row r="27" spans="1:6" ht="18" customHeight="1">
      <c r="A27" s="287">
        <v>4.2</v>
      </c>
      <c r="B27" s="287" t="s">
        <v>169</v>
      </c>
      <c r="C27" s="342">
        <f>NPV(C26,'Phan bo Tai chinh'!E66,'Phan bo Tai chinh'!H66,'Phan bo Tai chinh'!J66)-'Phan bo Tai chinh'!D12</f>
        <v>4203327685.9504118</v>
      </c>
      <c r="D27" s="365"/>
      <c r="E27" s="365"/>
      <c r="F27" s="366"/>
    </row>
    <row r="28" spans="1:6" ht="18" customHeight="1">
      <c r="A28" s="287">
        <v>4.3</v>
      </c>
      <c r="B28" s="287" t="s">
        <v>166</v>
      </c>
      <c r="C28" s="288"/>
      <c r="D28" s="288"/>
      <c r="E28" s="288"/>
      <c r="F28" s="288"/>
    </row>
    <row r="29" spans="1:6" ht="18" customHeight="1">
      <c r="A29" s="287">
        <v>4.4000000000000004</v>
      </c>
      <c r="B29" s="287" t="s">
        <v>167</v>
      </c>
      <c r="C29" s="304"/>
      <c r="D29" s="303"/>
      <c r="E29" s="303"/>
      <c r="F29" s="288"/>
    </row>
    <row r="30" spans="1:6" ht="18" customHeight="1">
      <c r="A30" s="287">
        <v>4.5</v>
      </c>
      <c r="B30" s="287" t="s">
        <v>168</v>
      </c>
      <c r="C30" s="304">
        <f>'Phan bo Tai chinh'!E63/'Phan bo Tai chinh'!D12</f>
        <v>-0.54278833350701083</v>
      </c>
      <c r="D30" s="304">
        <f>'Phan bo Tai chinh'!H63/'Phan bo Tai chinh'!D12</f>
        <v>0.7253233295124295</v>
      </c>
      <c r="E30" s="304">
        <f>'Phan bo Tai chinh'!J63/'Phan bo Tai chinh'!D12</f>
        <v>1.6733243021061286</v>
      </c>
      <c r="F30" s="288"/>
    </row>
    <row r="31" spans="1:6" ht="18" customHeight="1">
      <c r="A31" s="287">
        <v>4.5999999999999996</v>
      </c>
      <c r="B31" s="287" t="s">
        <v>165</v>
      </c>
      <c r="C31" s="304">
        <f>'Phan bo Tai chinh'!E63/'Phan bo Tai chinh'!E14</f>
        <v>-0.65291086350974925</v>
      </c>
      <c r="D31" s="304">
        <f>'Phan bo Tai chinh'!H63/'Phan bo Tai chinh'!H14</f>
        <v>8.4063338701019855E-2</v>
      </c>
      <c r="E31" s="304">
        <f>'Phan bo Tai chinh'!J63/'Phan bo Tai chinh'!J14</f>
        <v>0.12710642040457343</v>
      </c>
      <c r="F31" s="288"/>
    </row>
    <row r="32" spans="1:6" ht="18" customHeight="1">
      <c r="A32" s="287">
        <v>4.7</v>
      </c>
      <c r="B32" s="291" t="s">
        <v>154</v>
      </c>
      <c r="C32" s="292"/>
      <c r="D32" s="292"/>
      <c r="E32" s="305"/>
      <c r="F32" s="292"/>
    </row>
    <row r="33" spans="1:6" ht="18" customHeight="1">
      <c r="A33" s="287">
        <v>4.8</v>
      </c>
      <c r="B33" s="289" t="s">
        <v>170</v>
      </c>
      <c r="C33" s="290">
        <f>'Phan bo Tai chinh'!E58+'Phan bo Tai chinh'!E64</f>
        <v>-1755700000</v>
      </c>
      <c r="D33" s="290">
        <f>'Phan bo Tai chinh'!H58+'Phan bo Tai chinh'!H64</f>
        <v>4294200000</v>
      </c>
      <c r="E33" s="290">
        <f>'Phan bo Tai chinh'!J58+'Phan bo Tai chinh'!J64</f>
        <v>8872750000</v>
      </c>
      <c r="F33" s="290"/>
    </row>
  </sheetData>
  <pageMargins left="0.7" right="0.7" top="0.75" bottom="0.75" header="0.3" footer="0.3"/>
  <pageSetup paperSize="9" scale="91"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9"/>
  <sheetViews>
    <sheetView topLeftCell="A27" zoomScaleNormal="100" zoomScalePageLayoutView="80" workbookViewId="0">
      <selection activeCell="G43" sqref="G43"/>
    </sheetView>
  </sheetViews>
  <sheetFormatPr baseColWidth="10" defaultColWidth="10.6640625" defaultRowHeight="13"/>
  <cols>
    <col min="1" max="1" width="5" style="486" customWidth="1"/>
    <col min="2" max="2" width="35.1640625" style="486" customWidth="1"/>
    <col min="3" max="3" width="15.33203125" style="487" customWidth="1"/>
    <col min="4" max="4" width="16" style="487" customWidth="1"/>
    <col min="5" max="5" width="14.83203125" style="487" customWidth="1"/>
    <col min="6" max="6" width="15.83203125" style="487" customWidth="1"/>
    <col min="7" max="7" width="18.33203125" style="486" bestFit="1" customWidth="1"/>
    <col min="8" max="16384" width="10.6640625" style="486"/>
  </cols>
  <sheetData>
    <row r="1" spans="1:15" s="108" customFormat="1" ht="17" customHeight="1">
      <c r="A1" s="680" t="s">
        <v>78</v>
      </c>
      <c r="B1" s="681"/>
      <c r="C1" s="687" t="s">
        <v>175</v>
      </c>
      <c r="D1" s="688"/>
      <c r="E1" s="688"/>
      <c r="F1" s="688"/>
      <c r="G1" s="688"/>
      <c r="H1" s="688"/>
      <c r="I1" s="688"/>
      <c r="J1" s="688"/>
      <c r="K1" s="373"/>
      <c r="L1" s="374"/>
      <c r="M1" s="375"/>
      <c r="N1" s="376"/>
      <c r="O1" s="375"/>
    </row>
    <row r="2" spans="1:15" s="108" customFormat="1" ht="17" customHeight="1">
      <c r="A2" s="682" t="s">
        <v>1</v>
      </c>
      <c r="B2" s="683"/>
      <c r="C2" s="687"/>
      <c r="D2" s="688"/>
      <c r="E2" s="688"/>
      <c r="F2" s="688"/>
      <c r="G2" s="688"/>
      <c r="H2" s="688"/>
      <c r="I2" s="688"/>
      <c r="J2" s="688"/>
      <c r="K2" s="373"/>
      <c r="L2" s="374"/>
      <c r="M2" s="375"/>
      <c r="N2" s="376"/>
      <c r="O2" s="375"/>
    </row>
    <row r="3" spans="1:15" s="108" customFormat="1" ht="17" customHeight="1">
      <c r="A3" s="682" t="s">
        <v>0</v>
      </c>
      <c r="B3" s="683"/>
      <c r="C3" s="687"/>
      <c r="D3" s="688"/>
      <c r="E3" s="688"/>
      <c r="F3" s="688"/>
      <c r="G3" s="688"/>
      <c r="H3" s="688"/>
      <c r="I3" s="688"/>
      <c r="J3" s="688"/>
      <c r="K3" s="373"/>
      <c r="L3" s="374"/>
      <c r="M3" s="375"/>
      <c r="N3" s="376"/>
      <c r="O3" s="375"/>
    </row>
    <row r="4" spans="1:15" s="108" customFormat="1" ht="17" customHeight="1">
      <c r="A4" s="682" t="s">
        <v>2</v>
      </c>
      <c r="B4" s="683"/>
      <c r="C4" s="687"/>
      <c r="D4" s="688"/>
      <c r="E4" s="688"/>
      <c r="F4" s="688"/>
      <c r="G4" s="688"/>
      <c r="H4" s="688"/>
      <c r="I4" s="688"/>
      <c r="J4" s="688"/>
      <c r="K4" s="373"/>
      <c r="L4" s="374"/>
      <c r="M4" s="375"/>
      <c r="N4" s="376"/>
      <c r="O4" s="375"/>
    </row>
    <row r="5" spans="1:15" s="108" customFormat="1" ht="17" customHeight="1">
      <c r="A5" s="682" t="s">
        <v>3</v>
      </c>
      <c r="B5" s="683"/>
      <c r="C5" s="687"/>
      <c r="D5" s="688"/>
      <c r="E5" s="688"/>
      <c r="F5" s="688"/>
      <c r="G5" s="688"/>
      <c r="H5" s="688"/>
      <c r="I5" s="688"/>
      <c r="J5" s="688"/>
      <c r="K5" s="373"/>
      <c r="L5" s="374"/>
      <c r="M5" s="375"/>
      <c r="N5" s="376"/>
      <c r="O5" s="375"/>
    </row>
    <row r="6" spans="1:15" s="108" customFormat="1" ht="17" customHeight="1">
      <c r="A6" s="684" t="s">
        <v>42</v>
      </c>
      <c r="B6" s="685"/>
      <c r="C6" s="689">
        <v>43617</v>
      </c>
      <c r="D6" s="688"/>
      <c r="E6" s="688"/>
      <c r="F6" s="688"/>
      <c r="G6" s="688"/>
      <c r="H6" s="688"/>
      <c r="I6" s="688"/>
      <c r="J6" s="688"/>
      <c r="K6" s="373"/>
      <c r="L6" s="374"/>
      <c r="M6" s="375"/>
      <c r="N6" s="376"/>
      <c r="O6" s="375"/>
    </row>
    <row r="8" spans="1:15" ht="28" customHeight="1">
      <c r="A8" s="686" t="s">
        <v>172</v>
      </c>
      <c r="B8" s="686"/>
      <c r="C8" s="686"/>
      <c r="D8" s="686"/>
      <c r="E8" s="686"/>
      <c r="F8" s="686"/>
    </row>
    <row r="10" spans="1:15">
      <c r="E10" s="487" t="s">
        <v>137</v>
      </c>
      <c r="F10" s="486"/>
    </row>
    <row r="11" spans="1:15">
      <c r="E11" s="488"/>
      <c r="F11" s="486" t="s">
        <v>138</v>
      </c>
    </row>
    <row r="13" spans="1:15" ht="30" customHeight="1">
      <c r="A13" s="489" t="s">
        <v>47</v>
      </c>
      <c r="B13" s="489" t="s">
        <v>48</v>
      </c>
      <c r="C13" s="490">
        <v>2019</v>
      </c>
      <c r="D13" s="490">
        <v>2020</v>
      </c>
      <c r="E13" s="490">
        <v>2021</v>
      </c>
      <c r="F13" s="490">
        <v>2022</v>
      </c>
    </row>
    <row r="14" spans="1:15" s="493" customFormat="1" ht="21" customHeight="1">
      <c r="A14" s="491">
        <v>1</v>
      </c>
      <c r="B14" s="491" t="s">
        <v>141</v>
      </c>
      <c r="C14" s="492">
        <f>SUM(C15:C20)</f>
        <v>2650000</v>
      </c>
      <c r="D14" s="492">
        <f>SUM(D15:D20)</f>
        <v>1850000</v>
      </c>
      <c r="E14" s="492">
        <f t="shared" ref="E14:F14" si="0">SUM(E15:E20)</f>
        <v>1700000</v>
      </c>
      <c r="F14" s="492">
        <f t="shared" si="0"/>
        <v>0</v>
      </c>
    </row>
    <row r="15" spans="1:15" ht="18" customHeight="1">
      <c r="A15" s="494">
        <v>1.1000000000000001</v>
      </c>
      <c r="B15" s="494" t="s">
        <v>136</v>
      </c>
      <c r="C15" s="495">
        <v>2000000</v>
      </c>
      <c r="D15" s="495">
        <v>500000</v>
      </c>
      <c r="E15" s="495">
        <v>500000</v>
      </c>
      <c r="F15" s="495"/>
    </row>
    <row r="16" spans="1:15" ht="18" customHeight="1">
      <c r="A16" s="496">
        <v>1.2</v>
      </c>
      <c r="B16" s="496" t="s">
        <v>139</v>
      </c>
      <c r="C16" s="497">
        <v>350000</v>
      </c>
      <c r="D16" s="497">
        <v>300000</v>
      </c>
      <c r="E16" s="497">
        <v>0</v>
      </c>
      <c r="F16" s="497"/>
    </row>
    <row r="17" spans="1:6" ht="18" customHeight="1">
      <c r="A17" s="496">
        <v>1.3</v>
      </c>
      <c r="B17" s="496" t="s">
        <v>140</v>
      </c>
      <c r="C17" s="497">
        <v>200000</v>
      </c>
      <c r="D17" s="497">
        <v>200000</v>
      </c>
      <c r="E17" s="497">
        <v>200000</v>
      </c>
      <c r="F17" s="497"/>
    </row>
    <row r="18" spans="1:6" ht="18" customHeight="1">
      <c r="A18" s="496">
        <v>1.4</v>
      </c>
      <c r="B18" s="496" t="s">
        <v>270</v>
      </c>
      <c r="C18" s="497">
        <v>100000</v>
      </c>
      <c r="D18" s="497">
        <v>0</v>
      </c>
      <c r="E18" s="497">
        <v>0</v>
      </c>
      <c r="F18" s="497"/>
    </row>
    <row r="19" spans="1:6" ht="18" customHeight="1">
      <c r="A19" s="498">
        <v>1.5</v>
      </c>
      <c r="B19" s="498" t="s">
        <v>147</v>
      </c>
      <c r="C19" s="499"/>
      <c r="D19" s="499">
        <v>500000</v>
      </c>
      <c r="E19" s="499">
        <v>500000</v>
      </c>
      <c r="F19" s="499"/>
    </row>
    <row r="20" spans="1:6" ht="18" customHeight="1">
      <c r="A20" s="500">
        <v>1.6</v>
      </c>
      <c r="B20" s="500" t="s">
        <v>151</v>
      </c>
      <c r="C20" s="501"/>
      <c r="D20" s="501">
        <v>350000</v>
      </c>
      <c r="E20" s="501">
        <v>500000</v>
      </c>
      <c r="F20" s="501"/>
    </row>
    <row r="21" spans="1:6" ht="25" customHeight="1">
      <c r="A21" s="491">
        <v>2</v>
      </c>
      <c r="B21" s="491" t="s">
        <v>259</v>
      </c>
      <c r="C21" s="492">
        <f>SUM(C22:C27)</f>
        <v>1482473.6666666667</v>
      </c>
      <c r="D21" s="492"/>
      <c r="E21" s="492"/>
      <c r="F21" s="492">
        <f t="shared" ref="F21" si="1">SUM(F22:F27)</f>
        <v>0</v>
      </c>
    </row>
    <row r="22" spans="1:6" ht="18" customHeight="1">
      <c r="A22" s="502">
        <v>2.1</v>
      </c>
      <c r="B22" s="502" t="s">
        <v>227</v>
      </c>
      <c r="C22" s="503">
        <f>'Phân bổ tài chính (Bản chuẩn)'!E57*50%</f>
        <v>446285.00000000006</v>
      </c>
      <c r="D22" s="503"/>
      <c r="E22" s="503"/>
      <c r="F22" s="503"/>
    </row>
    <row r="23" spans="1:6" ht="18" customHeight="1">
      <c r="A23" s="496">
        <v>2.2000000000000002</v>
      </c>
      <c r="B23" s="496" t="s">
        <v>228</v>
      </c>
      <c r="C23" s="504">
        <f>'Phân bổ tài chính (Bản chuẩn)'!E52/12</f>
        <v>53129.166666666664</v>
      </c>
      <c r="D23" s="504"/>
      <c r="E23" s="504"/>
      <c r="F23" s="504"/>
    </row>
    <row r="24" spans="1:6" ht="18" customHeight="1">
      <c r="A24" s="496">
        <v>2.2999999999999998</v>
      </c>
      <c r="B24" s="496" t="s">
        <v>150</v>
      </c>
      <c r="C24" s="504">
        <f>'Phân bổ tài chính (Bản chuẩn)'!E64*30%</f>
        <v>382530</v>
      </c>
      <c r="D24" s="504"/>
      <c r="E24" s="504"/>
      <c r="F24" s="504"/>
    </row>
    <row r="25" spans="1:6" ht="18" customHeight="1">
      <c r="A25" s="496">
        <v>2.4</v>
      </c>
      <c r="B25" s="496" t="s">
        <v>144</v>
      </c>
      <c r="C25" s="504">
        <f>'Phân bổ tài chính (Bản chuẩn)'!E73*30%</f>
        <v>489150</v>
      </c>
      <c r="D25" s="504"/>
      <c r="E25" s="504"/>
      <c r="F25" s="504"/>
    </row>
    <row r="26" spans="1:6" ht="18" customHeight="1">
      <c r="A26" s="496">
        <v>2.5</v>
      </c>
      <c r="B26" s="496" t="s">
        <v>67</v>
      </c>
      <c r="C26" s="504">
        <f>'Phân bổ tài chính (Bản chuẩn)'!E86*30%</f>
        <v>57379.5</v>
      </c>
      <c r="D26" s="504"/>
      <c r="E26" s="504"/>
      <c r="F26" s="504"/>
    </row>
    <row r="27" spans="1:6" ht="18" customHeight="1">
      <c r="A27" s="496">
        <v>2.6</v>
      </c>
      <c r="B27" s="496" t="s">
        <v>145</v>
      </c>
      <c r="C27" s="504">
        <v>54000</v>
      </c>
      <c r="D27" s="504"/>
      <c r="E27" s="504"/>
      <c r="F27" s="504"/>
    </row>
    <row r="28" spans="1:6" ht="18" customHeight="1">
      <c r="A28" s="498"/>
      <c r="B28" s="498"/>
      <c r="C28" s="505"/>
      <c r="D28" s="505"/>
      <c r="E28" s="505"/>
      <c r="F28" s="505"/>
    </row>
    <row r="29" spans="1:6" ht="27" customHeight="1">
      <c r="A29" s="491">
        <v>3</v>
      </c>
      <c r="B29" s="491" t="s">
        <v>164</v>
      </c>
      <c r="C29" s="506">
        <f>C21+C14</f>
        <v>4132473.666666667</v>
      </c>
      <c r="D29" s="492"/>
      <c r="E29" s="492"/>
      <c r="F29" s="492">
        <f t="shared" ref="F29" si="2">F21+F14</f>
        <v>0</v>
      </c>
    </row>
    <row r="30" spans="1:6" ht="29" customHeight="1">
      <c r="A30" s="491">
        <v>4</v>
      </c>
      <c r="B30" s="491" t="s">
        <v>152</v>
      </c>
      <c r="C30" s="507"/>
      <c r="D30" s="507"/>
      <c r="E30" s="507"/>
      <c r="F30" s="507"/>
    </row>
    <row r="31" spans="1:6" ht="18" customHeight="1">
      <c r="A31" s="508"/>
      <c r="B31" s="502" t="s">
        <v>163</v>
      </c>
      <c r="C31" s="503" t="s">
        <v>271</v>
      </c>
      <c r="D31" s="503"/>
      <c r="E31" s="503"/>
      <c r="F31" s="503"/>
    </row>
    <row r="32" spans="1:6" ht="18" customHeight="1">
      <c r="A32" s="496">
        <v>4.0999999999999996</v>
      </c>
      <c r="B32" s="496" t="s">
        <v>153</v>
      </c>
      <c r="C32" s="509">
        <v>0.1</v>
      </c>
      <c r="D32" s="509">
        <v>0.1</v>
      </c>
      <c r="E32" s="509">
        <v>0.1</v>
      </c>
      <c r="F32" s="504"/>
    </row>
    <row r="33" spans="1:7" ht="18" customHeight="1">
      <c r="A33" s="496">
        <v>4.2</v>
      </c>
      <c r="B33" s="496" t="s">
        <v>169</v>
      </c>
      <c r="C33" s="663">
        <f>-C29+('Phân bổ tài chính (Bản chuẩn)'!E98/1.1)</f>
        <v>-4058110.0303030307</v>
      </c>
      <c r="D33" s="664">
        <f>NPV(C32,'Phân bổ tài chính (Bản chuẩn)'!E98,'Phân bổ tài chính (Bản chuẩn)'!H98)-'ĐT và PT tài chính (Bản chuẩn)'!C29</f>
        <v>-3992702.5922865015</v>
      </c>
      <c r="E33" s="663">
        <f>NPV(C32,'Phân bổ tài chính (Bản chuẩn)'!E98,'Phân bổ tài chính (Bản chuẩn)'!H98,'Phân bổ tài chính (Bản chuẩn)'!J98)-C29</f>
        <v>-3251702.0663661417</v>
      </c>
      <c r="F33" s="510"/>
    </row>
    <row r="34" spans="1:7" ht="18" customHeight="1">
      <c r="A34" s="496">
        <v>4.3</v>
      </c>
      <c r="B34" s="496" t="s">
        <v>166</v>
      </c>
      <c r="C34" s="504"/>
      <c r="D34" s="504"/>
      <c r="E34" s="504"/>
      <c r="F34" s="504"/>
    </row>
    <row r="35" spans="1:7" ht="18" customHeight="1">
      <c r="A35" s="496">
        <v>4.4000000000000004</v>
      </c>
      <c r="B35" s="496" t="s">
        <v>167</v>
      </c>
      <c r="C35" s="511"/>
      <c r="D35" s="512"/>
      <c r="E35" s="512"/>
      <c r="F35" s="504"/>
    </row>
    <row r="36" spans="1:7" ht="18" customHeight="1">
      <c r="A36" s="496">
        <v>4.5</v>
      </c>
      <c r="B36" s="496" t="s">
        <v>168</v>
      </c>
      <c r="C36" s="511">
        <f>'Phân bổ tài chính (Bản chuẩn)'!E95/'Phân bổ tài chính (Bản chuẩn)'!D12</f>
        <v>-0.14052116161901737</v>
      </c>
      <c r="D36" s="511">
        <f>'Phân bổ tài chính (Bản chuẩn)'!H95/'Phân bổ tài chính (Bản chuẩn)'!D12</f>
        <v>-0.25308255644460242</v>
      </c>
      <c r="E36" s="511">
        <f>'Phân bổ tài chính (Bản chuẩn)'!J95/'Phân bổ tài chính (Bản chuẩn)'!D12</f>
        <v>-0.13641425099623561</v>
      </c>
      <c r="F36" s="504"/>
    </row>
    <row r="37" spans="1:7" ht="18" customHeight="1">
      <c r="A37" s="496">
        <v>4.5999999999999996</v>
      </c>
      <c r="B37" s="496" t="s">
        <v>165</v>
      </c>
      <c r="C37" s="511">
        <f>'Phân bổ tài chính (Bản chuẩn)'!E95/'Phân bổ tài chính (Bản chuẩn)'!E14</f>
        <v>-8.4459312050032723E-2</v>
      </c>
      <c r="D37" s="511">
        <f>'Phân bổ tài chính (Bản chuẩn)'!H95/'Phân bổ tài chính (Bản chuẩn)'!H14</f>
        <v>-0.11756750376582208</v>
      </c>
      <c r="E37" s="511">
        <f>'Phân bổ tài chính (Bản chuẩn)'!J95/'Phân bổ tài chính (Bản chuẩn)'!J14</f>
        <v>-3.5175638489713702E-2</v>
      </c>
      <c r="F37" s="504"/>
    </row>
    <row r="38" spans="1:7" ht="18" customHeight="1">
      <c r="A38" s="496">
        <v>4.7</v>
      </c>
      <c r="B38" s="498" t="s">
        <v>154</v>
      </c>
      <c r="C38" s="505">
        <f>'Phân bổ tài chính (Bản chuẩn)'!E89</f>
        <v>-259925</v>
      </c>
      <c r="D38" s="505">
        <f>'Phân bổ tài chính (Bản chuẩn)'!H89</f>
        <v>-579067</v>
      </c>
      <c r="E38" s="665">
        <f>'Phân bổ tài chính (Bản chuẩn)'!J89</f>
        <v>290576.69999999925</v>
      </c>
      <c r="F38" s="505"/>
      <c r="G38" s="486" t="s">
        <v>267</v>
      </c>
    </row>
    <row r="39" spans="1:7" ht="18" customHeight="1">
      <c r="A39" s="496">
        <v>4.8</v>
      </c>
      <c r="B39" s="513" t="s">
        <v>269</v>
      </c>
      <c r="C39" s="514">
        <f>C38+'Phân bổ tài chính (Bản chuẩn)'!E96</f>
        <v>402575</v>
      </c>
      <c r="D39" s="514">
        <f>D38+'Phân bổ tài chính (Bản chuẩn)'!H96</f>
        <v>545933</v>
      </c>
      <c r="E39" s="514">
        <f>E38+'Phân bổ tài chính (Bản chuẩn)'!J96</f>
        <v>1840576.6999999993</v>
      </c>
      <c r="F39" s="514"/>
      <c r="G39" s="486" t="s">
        <v>268</v>
      </c>
    </row>
  </sheetData>
  <mergeCells count="13">
    <mergeCell ref="A8:F8"/>
    <mergeCell ref="A1:B1"/>
    <mergeCell ref="C1:J1"/>
    <mergeCell ref="A2:B2"/>
    <mergeCell ref="C2:J2"/>
    <mergeCell ref="A3:B3"/>
    <mergeCell ref="C3:J3"/>
    <mergeCell ref="A4:B4"/>
    <mergeCell ref="C4:J4"/>
    <mergeCell ref="A5:B5"/>
    <mergeCell ref="C5:J5"/>
    <mergeCell ref="A6:B6"/>
    <mergeCell ref="C6:J6"/>
  </mergeCells>
  <printOptions horizontalCentered="1"/>
  <pageMargins left="0.70866141732283472" right="0.70866141732283472" top="0.98425196850393704" bottom="0.78740157480314965" header="0" footer="0"/>
  <pageSetup paperSize="9" scale="50" fitToHeight="0" orientation="portrait" r:id="rId1"/>
  <headerFooter>
    <oddHeader>&amp;L&amp;G</oddHeader>
    <oddFooter>&amp;R&amp;G</oddFooter>
  </headerFooter>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14"/>
  <sheetViews>
    <sheetView showGridLines="0" topLeftCell="A87" zoomScaleNormal="100" zoomScalePageLayoutView="87" workbookViewId="0">
      <selection activeCell="N94" sqref="N94"/>
    </sheetView>
  </sheetViews>
  <sheetFormatPr baseColWidth="10" defaultColWidth="8.6640625" defaultRowHeight="13"/>
  <cols>
    <col min="1" max="1" width="5" style="110" customWidth="1"/>
    <col min="2" max="2" width="27.83203125" style="110" customWidth="1"/>
    <col min="3" max="3" width="8.1640625" style="477" customWidth="1"/>
    <col min="4" max="4" width="14.33203125" style="478" customWidth="1"/>
    <col min="5" max="5" width="13.5" style="478" customWidth="1"/>
    <col min="6" max="6" width="8.5" style="479" customWidth="1"/>
    <col min="7" max="7" width="7.6640625" style="479" customWidth="1"/>
    <col min="8" max="8" width="14.1640625" style="478" customWidth="1"/>
    <col min="9" max="9" width="8.5" style="479" customWidth="1"/>
    <col min="10" max="10" width="14.33203125" style="478" customWidth="1"/>
    <col min="11" max="11" width="8.5" style="479" customWidth="1"/>
    <col min="12" max="12" width="11.5" style="481" customWidth="1"/>
    <col min="13" max="13" width="11.5" style="375" customWidth="1"/>
    <col min="14" max="14" width="11.5" style="376" customWidth="1"/>
    <col min="15" max="15" width="11.5" style="375" customWidth="1"/>
    <col min="16" max="19" width="9.1640625" style="108" customWidth="1"/>
    <col min="20" max="20" width="51.5" style="108" customWidth="1"/>
    <col min="21" max="21" width="58.6640625" style="108" customWidth="1"/>
    <col min="22" max="22" width="53.6640625" style="108" customWidth="1"/>
    <col min="23" max="23" width="58.5" style="108" customWidth="1"/>
    <col min="24" max="24" width="95.5" style="108" customWidth="1"/>
    <col min="25" max="25" width="50.6640625" style="108" customWidth="1"/>
    <col min="26" max="26" width="10.6640625" style="108" customWidth="1"/>
    <col min="27" max="27" width="10.5" style="108" customWidth="1"/>
    <col min="28" max="257" width="8.6640625" style="108"/>
    <col min="258" max="258" width="5" style="108" customWidth="1"/>
    <col min="259" max="259" width="46.5" style="108" customWidth="1"/>
    <col min="260" max="260" width="13.6640625" style="108" customWidth="1"/>
    <col min="261" max="261" width="14.33203125" style="108" customWidth="1"/>
    <col min="262" max="262" width="19.83203125" style="108" customWidth="1"/>
    <col min="263" max="263" width="10.33203125" style="108" customWidth="1"/>
    <col min="264" max="264" width="10" style="108" customWidth="1"/>
    <col min="265" max="265" width="22.33203125" style="108" customWidth="1"/>
    <col min="266" max="266" width="10.33203125" style="108" customWidth="1"/>
    <col min="267" max="267" width="22" style="108" customWidth="1"/>
    <col min="268" max="268" width="10.33203125" style="108" customWidth="1"/>
    <col min="269" max="269" width="15.83203125" style="108" customWidth="1"/>
    <col min="270" max="275" width="9.1640625" style="108" customWidth="1"/>
    <col min="276" max="276" width="51.5" style="108" customWidth="1"/>
    <col min="277" max="277" width="58.6640625" style="108" customWidth="1"/>
    <col min="278" max="278" width="53.6640625" style="108" customWidth="1"/>
    <col min="279" max="279" width="58.5" style="108" customWidth="1"/>
    <col min="280" max="280" width="95.5" style="108" customWidth="1"/>
    <col min="281" max="281" width="50.6640625" style="108" customWidth="1"/>
    <col min="282" max="282" width="10.6640625" style="108" customWidth="1"/>
    <col min="283" max="283" width="10.5" style="108" customWidth="1"/>
    <col min="284" max="513" width="8.6640625" style="108"/>
    <col min="514" max="514" width="5" style="108" customWidth="1"/>
    <col min="515" max="515" width="46.5" style="108" customWidth="1"/>
    <col min="516" max="516" width="13.6640625" style="108" customWidth="1"/>
    <col min="517" max="517" width="14.33203125" style="108" customWidth="1"/>
    <col min="518" max="518" width="19.83203125" style="108" customWidth="1"/>
    <col min="519" max="519" width="10.33203125" style="108" customWidth="1"/>
    <col min="520" max="520" width="10" style="108" customWidth="1"/>
    <col min="521" max="521" width="22.33203125" style="108" customWidth="1"/>
    <col min="522" max="522" width="10.33203125" style="108" customWidth="1"/>
    <col min="523" max="523" width="22" style="108" customWidth="1"/>
    <col min="524" max="524" width="10.33203125" style="108" customWidth="1"/>
    <col min="525" max="525" width="15.83203125" style="108" customWidth="1"/>
    <col min="526" max="531" width="9.1640625" style="108" customWidth="1"/>
    <col min="532" max="532" width="51.5" style="108" customWidth="1"/>
    <col min="533" max="533" width="58.6640625" style="108" customWidth="1"/>
    <col min="534" max="534" width="53.6640625" style="108" customWidth="1"/>
    <col min="535" max="535" width="58.5" style="108" customWidth="1"/>
    <col min="536" max="536" width="95.5" style="108" customWidth="1"/>
    <col min="537" max="537" width="50.6640625" style="108" customWidth="1"/>
    <col min="538" max="538" width="10.6640625" style="108" customWidth="1"/>
    <col min="539" max="539" width="10.5" style="108" customWidth="1"/>
    <col min="540" max="769" width="8.6640625" style="108"/>
    <col min="770" max="770" width="5" style="108" customWidth="1"/>
    <col min="771" max="771" width="46.5" style="108" customWidth="1"/>
    <col min="772" max="772" width="13.6640625" style="108" customWidth="1"/>
    <col min="773" max="773" width="14.33203125" style="108" customWidth="1"/>
    <col min="774" max="774" width="19.83203125" style="108" customWidth="1"/>
    <col min="775" max="775" width="10.33203125" style="108" customWidth="1"/>
    <col min="776" max="776" width="10" style="108" customWidth="1"/>
    <col min="777" max="777" width="22.33203125" style="108" customWidth="1"/>
    <col min="778" max="778" width="10.33203125" style="108" customWidth="1"/>
    <col min="779" max="779" width="22" style="108" customWidth="1"/>
    <col min="780" max="780" width="10.33203125" style="108" customWidth="1"/>
    <col min="781" max="781" width="15.83203125" style="108" customWidth="1"/>
    <col min="782" max="787" width="9.1640625" style="108" customWidth="1"/>
    <col min="788" max="788" width="51.5" style="108" customWidth="1"/>
    <col min="789" max="789" width="58.6640625" style="108" customWidth="1"/>
    <col min="790" max="790" width="53.6640625" style="108" customWidth="1"/>
    <col min="791" max="791" width="58.5" style="108" customWidth="1"/>
    <col min="792" max="792" width="95.5" style="108" customWidth="1"/>
    <col min="793" max="793" width="50.6640625" style="108" customWidth="1"/>
    <col min="794" max="794" width="10.6640625" style="108" customWidth="1"/>
    <col min="795" max="795" width="10.5" style="108" customWidth="1"/>
    <col min="796" max="1025" width="8.6640625" style="108"/>
    <col min="1026" max="1026" width="5" style="108" customWidth="1"/>
    <col min="1027" max="1027" width="46.5" style="108" customWidth="1"/>
    <col min="1028" max="1028" width="13.6640625" style="108" customWidth="1"/>
    <col min="1029" max="1029" width="14.33203125" style="108" customWidth="1"/>
    <col min="1030" max="1030" width="19.83203125" style="108" customWidth="1"/>
    <col min="1031" max="1031" width="10.33203125" style="108" customWidth="1"/>
    <col min="1032" max="1032" width="10" style="108" customWidth="1"/>
    <col min="1033" max="1033" width="22.33203125" style="108" customWidth="1"/>
    <col min="1034" max="1034" width="10.33203125" style="108" customWidth="1"/>
    <col min="1035" max="1035" width="22" style="108" customWidth="1"/>
    <col min="1036" max="1036" width="10.33203125" style="108" customWidth="1"/>
    <col min="1037" max="1037" width="15.83203125" style="108" customWidth="1"/>
    <col min="1038" max="1043" width="9.1640625" style="108" customWidth="1"/>
    <col min="1044" max="1044" width="51.5" style="108" customWidth="1"/>
    <col min="1045" max="1045" width="58.6640625" style="108" customWidth="1"/>
    <col min="1046" max="1046" width="53.6640625" style="108" customWidth="1"/>
    <col min="1047" max="1047" width="58.5" style="108" customWidth="1"/>
    <col min="1048" max="1048" width="95.5" style="108" customWidth="1"/>
    <col min="1049" max="1049" width="50.6640625" style="108" customWidth="1"/>
    <col min="1050" max="1050" width="10.6640625" style="108" customWidth="1"/>
    <col min="1051" max="1051" width="10.5" style="108" customWidth="1"/>
    <col min="1052" max="1281" width="8.6640625" style="108"/>
    <col min="1282" max="1282" width="5" style="108" customWidth="1"/>
    <col min="1283" max="1283" width="46.5" style="108" customWidth="1"/>
    <col min="1284" max="1284" width="13.6640625" style="108" customWidth="1"/>
    <col min="1285" max="1285" width="14.33203125" style="108" customWidth="1"/>
    <col min="1286" max="1286" width="19.83203125" style="108" customWidth="1"/>
    <col min="1287" max="1287" width="10.33203125" style="108" customWidth="1"/>
    <col min="1288" max="1288" width="10" style="108" customWidth="1"/>
    <col min="1289" max="1289" width="22.33203125" style="108" customWidth="1"/>
    <col min="1290" max="1290" width="10.33203125" style="108" customWidth="1"/>
    <col min="1291" max="1291" width="22" style="108" customWidth="1"/>
    <col min="1292" max="1292" width="10.33203125" style="108" customWidth="1"/>
    <col min="1293" max="1293" width="15.83203125" style="108" customWidth="1"/>
    <col min="1294" max="1299" width="9.1640625" style="108" customWidth="1"/>
    <col min="1300" max="1300" width="51.5" style="108" customWidth="1"/>
    <col min="1301" max="1301" width="58.6640625" style="108" customWidth="1"/>
    <col min="1302" max="1302" width="53.6640625" style="108" customWidth="1"/>
    <col min="1303" max="1303" width="58.5" style="108" customWidth="1"/>
    <col min="1304" max="1304" width="95.5" style="108" customWidth="1"/>
    <col min="1305" max="1305" width="50.6640625" style="108" customWidth="1"/>
    <col min="1306" max="1306" width="10.6640625" style="108" customWidth="1"/>
    <col min="1307" max="1307" width="10.5" style="108" customWidth="1"/>
    <col min="1308" max="1537" width="8.6640625" style="108"/>
    <col min="1538" max="1538" width="5" style="108" customWidth="1"/>
    <col min="1539" max="1539" width="46.5" style="108" customWidth="1"/>
    <col min="1540" max="1540" width="13.6640625" style="108" customWidth="1"/>
    <col min="1541" max="1541" width="14.33203125" style="108" customWidth="1"/>
    <col min="1542" max="1542" width="19.83203125" style="108" customWidth="1"/>
    <col min="1543" max="1543" width="10.33203125" style="108" customWidth="1"/>
    <col min="1544" max="1544" width="10" style="108" customWidth="1"/>
    <col min="1545" max="1545" width="22.33203125" style="108" customWidth="1"/>
    <col min="1546" max="1546" width="10.33203125" style="108" customWidth="1"/>
    <col min="1547" max="1547" width="22" style="108" customWidth="1"/>
    <col min="1548" max="1548" width="10.33203125" style="108" customWidth="1"/>
    <col min="1549" max="1549" width="15.83203125" style="108" customWidth="1"/>
    <col min="1550" max="1555" width="9.1640625" style="108" customWidth="1"/>
    <col min="1556" max="1556" width="51.5" style="108" customWidth="1"/>
    <col min="1557" max="1557" width="58.6640625" style="108" customWidth="1"/>
    <col min="1558" max="1558" width="53.6640625" style="108" customWidth="1"/>
    <col min="1559" max="1559" width="58.5" style="108" customWidth="1"/>
    <col min="1560" max="1560" width="95.5" style="108" customWidth="1"/>
    <col min="1561" max="1561" width="50.6640625" style="108" customWidth="1"/>
    <col min="1562" max="1562" width="10.6640625" style="108" customWidth="1"/>
    <col min="1563" max="1563" width="10.5" style="108" customWidth="1"/>
    <col min="1564" max="1793" width="8.6640625" style="108"/>
    <col min="1794" max="1794" width="5" style="108" customWidth="1"/>
    <col min="1795" max="1795" width="46.5" style="108" customWidth="1"/>
    <col min="1796" max="1796" width="13.6640625" style="108" customWidth="1"/>
    <col min="1797" max="1797" width="14.33203125" style="108" customWidth="1"/>
    <col min="1798" max="1798" width="19.83203125" style="108" customWidth="1"/>
    <col min="1799" max="1799" width="10.33203125" style="108" customWidth="1"/>
    <col min="1800" max="1800" width="10" style="108" customWidth="1"/>
    <col min="1801" max="1801" width="22.33203125" style="108" customWidth="1"/>
    <col min="1802" max="1802" width="10.33203125" style="108" customWidth="1"/>
    <col min="1803" max="1803" width="22" style="108" customWidth="1"/>
    <col min="1804" max="1804" width="10.33203125" style="108" customWidth="1"/>
    <col min="1805" max="1805" width="15.83203125" style="108" customWidth="1"/>
    <col min="1806" max="1811" width="9.1640625" style="108" customWidth="1"/>
    <col min="1812" max="1812" width="51.5" style="108" customWidth="1"/>
    <col min="1813" max="1813" width="58.6640625" style="108" customWidth="1"/>
    <col min="1814" max="1814" width="53.6640625" style="108" customWidth="1"/>
    <col min="1815" max="1815" width="58.5" style="108" customWidth="1"/>
    <col min="1816" max="1816" width="95.5" style="108" customWidth="1"/>
    <col min="1817" max="1817" width="50.6640625" style="108" customWidth="1"/>
    <col min="1818" max="1818" width="10.6640625" style="108" customWidth="1"/>
    <col min="1819" max="1819" width="10.5" style="108" customWidth="1"/>
    <col min="1820" max="2049" width="8.6640625" style="108"/>
    <col min="2050" max="2050" width="5" style="108" customWidth="1"/>
    <col min="2051" max="2051" width="46.5" style="108" customWidth="1"/>
    <col min="2052" max="2052" width="13.6640625" style="108" customWidth="1"/>
    <col min="2053" max="2053" width="14.33203125" style="108" customWidth="1"/>
    <col min="2054" max="2054" width="19.83203125" style="108" customWidth="1"/>
    <col min="2055" max="2055" width="10.33203125" style="108" customWidth="1"/>
    <col min="2056" max="2056" width="10" style="108" customWidth="1"/>
    <col min="2057" max="2057" width="22.33203125" style="108" customWidth="1"/>
    <col min="2058" max="2058" width="10.33203125" style="108" customWidth="1"/>
    <col min="2059" max="2059" width="22" style="108" customWidth="1"/>
    <col min="2060" max="2060" width="10.33203125" style="108" customWidth="1"/>
    <col min="2061" max="2061" width="15.83203125" style="108" customWidth="1"/>
    <col min="2062" max="2067" width="9.1640625" style="108" customWidth="1"/>
    <col min="2068" max="2068" width="51.5" style="108" customWidth="1"/>
    <col min="2069" max="2069" width="58.6640625" style="108" customWidth="1"/>
    <col min="2070" max="2070" width="53.6640625" style="108" customWidth="1"/>
    <col min="2071" max="2071" width="58.5" style="108" customWidth="1"/>
    <col min="2072" max="2072" width="95.5" style="108" customWidth="1"/>
    <col min="2073" max="2073" width="50.6640625" style="108" customWidth="1"/>
    <col min="2074" max="2074" width="10.6640625" style="108" customWidth="1"/>
    <col min="2075" max="2075" width="10.5" style="108" customWidth="1"/>
    <col min="2076" max="2305" width="8.6640625" style="108"/>
    <col min="2306" max="2306" width="5" style="108" customWidth="1"/>
    <col min="2307" max="2307" width="46.5" style="108" customWidth="1"/>
    <col min="2308" max="2308" width="13.6640625" style="108" customWidth="1"/>
    <col min="2309" max="2309" width="14.33203125" style="108" customWidth="1"/>
    <col min="2310" max="2310" width="19.83203125" style="108" customWidth="1"/>
    <col min="2311" max="2311" width="10.33203125" style="108" customWidth="1"/>
    <col min="2312" max="2312" width="10" style="108" customWidth="1"/>
    <col min="2313" max="2313" width="22.33203125" style="108" customWidth="1"/>
    <col min="2314" max="2314" width="10.33203125" style="108" customWidth="1"/>
    <col min="2315" max="2315" width="22" style="108" customWidth="1"/>
    <col min="2316" max="2316" width="10.33203125" style="108" customWidth="1"/>
    <col min="2317" max="2317" width="15.83203125" style="108" customWidth="1"/>
    <col min="2318" max="2323" width="9.1640625" style="108" customWidth="1"/>
    <col min="2324" max="2324" width="51.5" style="108" customWidth="1"/>
    <col min="2325" max="2325" width="58.6640625" style="108" customWidth="1"/>
    <col min="2326" max="2326" width="53.6640625" style="108" customWidth="1"/>
    <col min="2327" max="2327" width="58.5" style="108" customWidth="1"/>
    <col min="2328" max="2328" width="95.5" style="108" customWidth="1"/>
    <col min="2329" max="2329" width="50.6640625" style="108" customWidth="1"/>
    <col min="2330" max="2330" width="10.6640625" style="108" customWidth="1"/>
    <col min="2331" max="2331" width="10.5" style="108" customWidth="1"/>
    <col min="2332" max="2561" width="8.6640625" style="108"/>
    <col min="2562" max="2562" width="5" style="108" customWidth="1"/>
    <col min="2563" max="2563" width="46.5" style="108" customWidth="1"/>
    <col min="2564" max="2564" width="13.6640625" style="108" customWidth="1"/>
    <col min="2565" max="2565" width="14.33203125" style="108" customWidth="1"/>
    <col min="2566" max="2566" width="19.83203125" style="108" customWidth="1"/>
    <col min="2567" max="2567" width="10.33203125" style="108" customWidth="1"/>
    <col min="2568" max="2568" width="10" style="108" customWidth="1"/>
    <col min="2569" max="2569" width="22.33203125" style="108" customWidth="1"/>
    <col min="2570" max="2570" width="10.33203125" style="108" customWidth="1"/>
    <col min="2571" max="2571" width="22" style="108" customWidth="1"/>
    <col min="2572" max="2572" width="10.33203125" style="108" customWidth="1"/>
    <col min="2573" max="2573" width="15.83203125" style="108" customWidth="1"/>
    <col min="2574" max="2579" width="9.1640625" style="108" customWidth="1"/>
    <col min="2580" max="2580" width="51.5" style="108" customWidth="1"/>
    <col min="2581" max="2581" width="58.6640625" style="108" customWidth="1"/>
    <col min="2582" max="2582" width="53.6640625" style="108" customWidth="1"/>
    <col min="2583" max="2583" width="58.5" style="108" customWidth="1"/>
    <col min="2584" max="2584" width="95.5" style="108" customWidth="1"/>
    <col min="2585" max="2585" width="50.6640625" style="108" customWidth="1"/>
    <col min="2586" max="2586" width="10.6640625" style="108" customWidth="1"/>
    <col min="2587" max="2587" width="10.5" style="108" customWidth="1"/>
    <col min="2588" max="2817" width="8.6640625" style="108"/>
    <col min="2818" max="2818" width="5" style="108" customWidth="1"/>
    <col min="2819" max="2819" width="46.5" style="108" customWidth="1"/>
    <col min="2820" max="2820" width="13.6640625" style="108" customWidth="1"/>
    <col min="2821" max="2821" width="14.33203125" style="108" customWidth="1"/>
    <col min="2822" max="2822" width="19.83203125" style="108" customWidth="1"/>
    <col min="2823" max="2823" width="10.33203125" style="108" customWidth="1"/>
    <col min="2824" max="2824" width="10" style="108" customWidth="1"/>
    <col min="2825" max="2825" width="22.33203125" style="108" customWidth="1"/>
    <col min="2826" max="2826" width="10.33203125" style="108" customWidth="1"/>
    <col min="2827" max="2827" width="22" style="108" customWidth="1"/>
    <col min="2828" max="2828" width="10.33203125" style="108" customWidth="1"/>
    <col min="2829" max="2829" width="15.83203125" style="108" customWidth="1"/>
    <col min="2830" max="2835" width="9.1640625" style="108" customWidth="1"/>
    <col min="2836" max="2836" width="51.5" style="108" customWidth="1"/>
    <col min="2837" max="2837" width="58.6640625" style="108" customWidth="1"/>
    <col min="2838" max="2838" width="53.6640625" style="108" customWidth="1"/>
    <col min="2839" max="2839" width="58.5" style="108" customWidth="1"/>
    <col min="2840" max="2840" width="95.5" style="108" customWidth="1"/>
    <col min="2841" max="2841" width="50.6640625" style="108" customWidth="1"/>
    <col min="2842" max="2842" width="10.6640625" style="108" customWidth="1"/>
    <col min="2843" max="2843" width="10.5" style="108" customWidth="1"/>
    <col min="2844" max="3073" width="8.6640625" style="108"/>
    <col min="3074" max="3074" width="5" style="108" customWidth="1"/>
    <col min="3075" max="3075" width="46.5" style="108" customWidth="1"/>
    <col min="3076" max="3076" width="13.6640625" style="108" customWidth="1"/>
    <col min="3077" max="3077" width="14.33203125" style="108" customWidth="1"/>
    <col min="3078" max="3078" width="19.83203125" style="108" customWidth="1"/>
    <col min="3079" max="3079" width="10.33203125" style="108" customWidth="1"/>
    <col min="3080" max="3080" width="10" style="108" customWidth="1"/>
    <col min="3081" max="3081" width="22.33203125" style="108" customWidth="1"/>
    <col min="3082" max="3082" width="10.33203125" style="108" customWidth="1"/>
    <col min="3083" max="3083" width="22" style="108" customWidth="1"/>
    <col min="3084" max="3084" width="10.33203125" style="108" customWidth="1"/>
    <col min="3085" max="3085" width="15.83203125" style="108" customWidth="1"/>
    <col min="3086" max="3091" width="9.1640625" style="108" customWidth="1"/>
    <col min="3092" max="3092" width="51.5" style="108" customWidth="1"/>
    <col min="3093" max="3093" width="58.6640625" style="108" customWidth="1"/>
    <col min="3094" max="3094" width="53.6640625" style="108" customWidth="1"/>
    <col min="3095" max="3095" width="58.5" style="108" customWidth="1"/>
    <col min="3096" max="3096" width="95.5" style="108" customWidth="1"/>
    <col min="3097" max="3097" width="50.6640625" style="108" customWidth="1"/>
    <col min="3098" max="3098" width="10.6640625" style="108" customWidth="1"/>
    <col min="3099" max="3099" width="10.5" style="108" customWidth="1"/>
    <col min="3100" max="3329" width="8.6640625" style="108"/>
    <col min="3330" max="3330" width="5" style="108" customWidth="1"/>
    <col min="3331" max="3331" width="46.5" style="108" customWidth="1"/>
    <col min="3332" max="3332" width="13.6640625" style="108" customWidth="1"/>
    <col min="3333" max="3333" width="14.33203125" style="108" customWidth="1"/>
    <col min="3334" max="3334" width="19.83203125" style="108" customWidth="1"/>
    <col min="3335" max="3335" width="10.33203125" style="108" customWidth="1"/>
    <col min="3336" max="3336" width="10" style="108" customWidth="1"/>
    <col min="3337" max="3337" width="22.33203125" style="108" customWidth="1"/>
    <col min="3338" max="3338" width="10.33203125" style="108" customWidth="1"/>
    <col min="3339" max="3339" width="22" style="108" customWidth="1"/>
    <col min="3340" max="3340" width="10.33203125" style="108" customWidth="1"/>
    <col min="3341" max="3341" width="15.83203125" style="108" customWidth="1"/>
    <col min="3342" max="3347" width="9.1640625" style="108" customWidth="1"/>
    <col min="3348" max="3348" width="51.5" style="108" customWidth="1"/>
    <col min="3349" max="3349" width="58.6640625" style="108" customWidth="1"/>
    <col min="3350" max="3350" width="53.6640625" style="108" customWidth="1"/>
    <col min="3351" max="3351" width="58.5" style="108" customWidth="1"/>
    <col min="3352" max="3352" width="95.5" style="108" customWidth="1"/>
    <col min="3353" max="3353" width="50.6640625" style="108" customWidth="1"/>
    <col min="3354" max="3354" width="10.6640625" style="108" customWidth="1"/>
    <col min="3355" max="3355" width="10.5" style="108" customWidth="1"/>
    <col min="3356" max="3585" width="8.6640625" style="108"/>
    <col min="3586" max="3586" width="5" style="108" customWidth="1"/>
    <col min="3587" max="3587" width="46.5" style="108" customWidth="1"/>
    <col min="3588" max="3588" width="13.6640625" style="108" customWidth="1"/>
    <col min="3589" max="3589" width="14.33203125" style="108" customWidth="1"/>
    <col min="3590" max="3590" width="19.83203125" style="108" customWidth="1"/>
    <col min="3591" max="3591" width="10.33203125" style="108" customWidth="1"/>
    <col min="3592" max="3592" width="10" style="108" customWidth="1"/>
    <col min="3593" max="3593" width="22.33203125" style="108" customWidth="1"/>
    <col min="3594" max="3594" width="10.33203125" style="108" customWidth="1"/>
    <col min="3595" max="3595" width="22" style="108" customWidth="1"/>
    <col min="3596" max="3596" width="10.33203125" style="108" customWidth="1"/>
    <col min="3597" max="3597" width="15.83203125" style="108" customWidth="1"/>
    <col min="3598" max="3603" width="9.1640625" style="108" customWidth="1"/>
    <col min="3604" max="3604" width="51.5" style="108" customWidth="1"/>
    <col min="3605" max="3605" width="58.6640625" style="108" customWidth="1"/>
    <col min="3606" max="3606" width="53.6640625" style="108" customWidth="1"/>
    <col min="3607" max="3607" width="58.5" style="108" customWidth="1"/>
    <col min="3608" max="3608" width="95.5" style="108" customWidth="1"/>
    <col min="3609" max="3609" width="50.6640625" style="108" customWidth="1"/>
    <col min="3610" max="3610" width="10.6640625" style="108" customWidth="1"/>
    <col min="3611" max="3611" width="10.5" style="108" customWidth="1"/>
    <col min="3612" max="3841" width="8.6640625" style="108"/>
    <col min="3842" max="3842" width="5" style="108" customWidth="1"/>
    <col min="3843" max="3843" width="46.5" style="108" customWidth="1"/>
    <col min="3844" max="3844" width="13.6640625" style="108" customWidth="1"/>
    <col min="3845" max="3845" width="14.33203125" style="108" customWidth="1"/>
    <col min="3846" max="3846" width="19.83203125" style="108" customWidth="1"/>
    <col min="3847" max="3847" width="10.33203125" style="108" customWidth="1"/>
    <col min="3848" max="3848" width="10" style="108" customWidth="1"/>
    <col min="3849" max="3849" width="22.33203125" style="108" customWidth="1"/>
    <col min="3850" max="3850" width="10.33203125" style="108" customWidth="1"/>
    <col min="3851" max="3851" width="22" style="108" customWidth="1"/>
    <col min="3852" max="3852" width="10.33203125" style="108" customWidth="1"/>
    <col min="3853" max="3853" width="15.83203125" style="108" customWidth="1"/>
    <col min="3854" max="3859" width="9.1640625" style="108" customWidth="1"/>
    <col min="3860" max="3860" width="51.5" style="108" customWidth="1"/>
    <col min="3861" max="3861" width="58.6640625" style="108" customWidth="1"/>
    <col min="3862" max="3862" width="53.6640625" style="108" customWidth="1"/>
    <col min="3863" max="3863" width="58.5" style="108" customWidth="1"/>
    <col min="3864" max="3864" width="95.5" style="108" customWidth="1"/>
    <col min="3865" max="3865" width="50.6640625" style="108" customWidth="1"/>
    <col min="3866" max="3866" width="10.6640625" style="108" customWidth="1"/>
    <col min="3867" max="3867" width="10.5" style="108" customWidth="1"/>
    <col min="3868" max="4097" width="8.6640625" style="108"/>
    <col min="4098" max="4098" width="5" style="108" customWidth="1"/>
    <col min="4099" max="4099" width="46.5" style="108" customWidth="1"/>
    <col min="4100" max="4100" width="13.6640625" style="108" customWidth="1"/>
    <col min="4101" max="4101" width="14.33203125" style="108" customWidth="1"/>
    <col min="4102" max="4102" width="19.83203125" style="108" customWidth="1"/>
    <col min="4103" max="4103" width="10.33203125" style="108" customWidth="1"/>
    <col min="4104" max="4104" width="10" style="108" customWidth="1"/>
    <col min="4105" max="4105" width="22.33203125" style="108" customWidth="1"/>
    <col min="4106" max="4106" width="10.33203125" style="108" customWidth="1"/>
    <col min="4107" max="4107" width="22" style="108" customWidth="1"/>
    <col min="4108" max="4108" width="10.33203125" style="108" customWidth="1"/>
    <col min="4109" max="4109" width="15.83203125" style="108" customWidth="1"/>
    <col min="4110" max="4115" width="9.1640625" style="108" customWidth="1"/>
    <col min="4116" max="4116" width="51.5" style="108" customWidth="1"/>
    <col min="4117" max="4117" width="58.6640625" style="108" customWidth="1"/>
    <col min="4118" max="4118" width="53.6640625" style="108" customWidth="1"/>
    <col min="4119" max="4119" width="58.5" style="108" customWidth="1"/>
    <col min="4120" max="4120" width="95.5" style="108" customWidth="1"/>
    <col min="4121" max="4121" width="50.6640625" style="108" customWidth="1"/>
    <col min="4122" max="4122" width="10.6640625" style="108" customWidth="1"/>
    <col min="4123" max="4123" width="10.5" style="108" customWidth="1"/>
    <col min="4124" max="4353" width="8.6640625" style="108"/>
    <col min="4354" max="4354" width="5" style="108" customWidth="1"/>
    <col min="4355" max="4355" width="46.5" style="108" customWidth="1"/>
    <col min="4356" max="4356" width="13.6640625" style="108" customWidth="1"/>
    <col min="4357" max="4357" width="14.33203125" style="108" customWidth="1"/>
    <col min="4358" max="4358" width="19.83203125" style="108" customWidth="1"/>
    <col min="4359" max="4359" width="10.33203125" style="108" customWidth="1"/>
    <col min="4360" max="4360" width="10" style="108" customWidth="1"/>
    <col min="4361" max="4361" width="22.33203125" style="108" customWidth="1"/>
    <col min="4362" max="4362" width="10.33203125" style="108" customWidth="1"/>
    <col min="4363" max="4363" width="22" style="108" customWidth="1"/>
    <col min="4364" max="4364" width="10.33203125" style="108" customWidth="1"/>
    <col min="4365" max="4365" width="15.83203125" style="108" customWidth="1"/>
    <col min="4366" max="4371" width="9.1640625" style="108" customWidth="1"/>
    <col min="4372" max="4372" width="51.5" style="108" customWidth="1"/>
    <col min="4373" max="4373" width="58.6640625" style="108" customWidth="1"/>
    <col min="4374" max="4374" width="53.6640625" style="108" customWidth="1"/>
    <col min="4375" max="4375" width="58.5" style="108" customWidth="1"/>
    <col min="4376" max="4376" width="95.5" style="108" customWidth="1"/>
    <col min="4377" max="4377" width="50.6640625" style="108" customWidth="1"/>
    <col min="4378" max="4378" width="10.6640625" style="108" customWidth="1"/>
    <col min="4379" max="4379" width="10.5" style="108" customWidth="1"/>
    <col min="4380" max="4609" width="8.6640625" style="108"/>
    <col min="4610" max="4610" width="5" style="108" customWidth="1"/>
    <col min="4611" max="4611" width="46.5" style="108" customWidth="1"/>
    <col min="4612" max="4612" width="13.6640625" style="108" customWidth="1"/>
    <col min="4613" max="4613" width="14.33203125" style="108" customWidth="1"/>
    <col min="4614" max="4614" width="19.83203125" style="108" customWidth="1"/>
    <col min="4615" max="4615" width="10.33203125" style="108" customWidth="1"/>
    <col min="4616" max="4616" width="10" style="108" customWidth="1"/>
    <col min="4617" max="4617" width="22.33203125" style="108" customWidth="1"/>
    <col min="4618" max="4618" width="10.33203125" style="108" customWidth="1"/>
    <col min="4619" max="4619" width="22" style="108" customWidth="1"/>
    <col min="4620" max="4620" width="10.33203125" style="108" customWidth="1"/>
    <col min="4621" max="4621" width="15.83203125" style="108" customWidth="1"/>
    <col min="4622" max="4627" width="9.1640625" style="108" customWidth="1"/>
    <col min="4628" max="4628" width="51.5" style="108" customWidth="1"/>
    <col min="4629" max="4629" width="58.6640625" style="108" customWidth="1"/>
    <col min="4630" max="4630" width="53.6640625" style="108" customWidth="1"/>
    <col min="4631" max="4631" width="58.5" style="108" customWidth="1"/>
    <col min="4632" max="4632" width="95.5" style="108" customWidth="1"/>
    <col min="4633" max="4633" width="50.6640625" style="108" customWidth="1"/>
    <col min="4634" max="4634" width="10.6640625" style="108" customWidth="1"/>
    <col min="4635" max="4635" width="10.5" style="108" customWidth="1"/>
    <col min="4636" max="4865" width="8.6640625" style="108"/>
    <col min="4866" max="4866" width="5" style="108" customWidth="1"/>
    <col min="4867" max="4867" width="46.5" style="108" customWidth="1"/>
    <col min="4868" max="4868" width="13.6640625" style="108" customWidth="1"/>
    <col min="4869" max="4869" width="14.33203125" style="108" customWidth="1"/>
    <col min="4870" max="4870" width="19.83203125" style="108" customWidth="1"/>
    <col min="4871" max="4871" width="10.33203125" style="108" customWidth="1"/>
    <col min="4872" max="4872" width="10" style="108" customWidth="1"/>
    <col min="4873" max="4873" width="22.33203125" style="108" customWidth="1"/>
    <col min="4874" max="4874" width="10.33203125" style="108" customWidth="1"/>
    <col min="4875" max="4875" width="22" style="108" customWidth="1"/>
    <col min="4876" max="4876" width="10.33203125" style="108" customWidth="1"/>
    <col min="4877" max="4877" width="15.83203125" style="108" customWidth="1"/>
    <col min="4878" max="4883" width="9.1640625" style="108" customWidth="1"/>
    <col min="4884" max="4884" width="51.5" style="108" customWidth="1"/>
    <col min="4885" max="4885" width="58.6640625" style="108" customWidth="1"/>
    <col min="4886" max="4886" width="53.6640625" style="108" customWidth="1"/>
    <col min="4887" max="4887" width="58.5" style="108" customWidth="1"/>
    <col min="4888" max="4888" width="95.5" style="108" customWidth="1"/>
    <col min="4889" max="4889" width="50.6640625" style="108" customWidth="1"/>
    <col min="4890" max="4890" width="10.6640625" style="108" customWidth="1"/>
    <col min="4891" max="4891" width="10.5" style="108" customWidth="1"/>
    <col min="4892" max="5121" width="8.6640625" style="108"/>
    <col min="5122" max="5122" width="5" style="108" customWidth="1"/>
    <col min="5123" max="5123" width="46.5" style="108" customWidth="1"/>
    <col min="5124" max="5124" width="13.6640625" style="108" customWidth="1"/>
    <col min="5125" max="5125" width="14.33203125" style="108" customWidth="1"/>
    <col min="5126" max="5126" width="19.83203125" style="108" customWidth="1"/>
    <col min="5127" max="5127" width="10.33203125" style="108" customWidth="1"/>
    <col min="5128" max="5128" width="10" style="108" customWidth="1"/>
    <col min="5129" max="5129" width="22.33203125" style="108" customWidth="1"/>
    <col min="5130" max="5130" width="10.33203125" style="108" customWidth="1"/>
    <col min="5131" max="5131" width="22" style="108" customWidth="1"/>
    <col min="5132" max="5132" width="10.33203125" style="108" customWidth="1"/>
    <col min="5133" max="5133" width="15.83203125" style="108" customWidth="1"/>
    <col min="5134" max="5139" width="9.1640625" style="108" customWidth="1"/>
    <col min="5140" max="5140" width="51.5" style="108" customWidth="1"/>
    <col min="5141" max="5141" width="58.6640625" style="108" customWidth="1"/>
    <col min="5142" max="5142" width="53.6640625" style="108" customWidth="1"/>
    <col min="5143" max="5143" width="58.5" style="108" customWidth="1"/>
    <col min="5144" max="5144" width="95.5" style="108" customWidth="1"/>
    <col min="5145" max="5145" width="50.6640625" style="108" customWidth="1"/>
    <col min="5146" max="5146" width="10.6640625" style="108" customWidth="1"/>
    <col min="5147" max="5147" width="10.5" style="108" customWidth="1"/>
    <col min="5148" max="5377" width="8.6640625" style="108"/>
    <col min="5378" max="5378" width="5" style="108" customWidth="1"/>
    <col min="5379" max="5379" width="46.5" style="108" customWidth="1"/>
    <col min="5380" max="5380" width="13.6640625" style="108" customWidth="1"/>
    <col min="5381" max="5381" width="14.33203125" style="108" customWidth="1"/>
    <col min="5382" max="5382" width="19.83203125" style="108" customWidth="1"/>
    <col min="5383" max="5383" width="10.33203125" style="108" customWidth="1"/>
    <col min="5384" max="5384" width="10" style="108" customWidth="1"/>
    <col min="5385" max="5385" width="22.33203125" style="108" customWidth="1"/>
    <col min="5386" max="5386" width="10.33203125" style="108" customWidth="1"/>
    <col min="5387" max="5387" width="22" style="108" customWidth="1"/>
    <col min="5388" max="5388" width="10.33203125" style="108" customWidth="1"/>
    <col min="5389" max="5389" width="15.83203125" style="108" customWidth="1"/>
    <col min="5390" max="5395" width="9.1640625" style="108" customWidth="1"/>
    <col min="5396" max="5396" width="51.5" style="108" customWidth="1"/>
    <col min="5397" max="5397" width="58.6640625" style="108" customWidth="1"/>
    <col min="5398" max="5398" width="53.6640625" style="108" customWidth="1"/>
    <col min="5399" max="5399" width="58.5" style="108" customWidth="1"/>
    <col min="5400" max="5400" width="95.5" style="108" customWidth="1"/>
    <col min="5401" max="5401" width="50.6640625" style="108" customWidth="1"/>
    <col min="5402" max="5402" width="10.6640625" style="108" customWidth="1"/>
    <col min="5403" max="5403" width="10.5" style="108" customWidth="1"/>
    <col min="5404" max="5633" width="8.6640625" style="108"/>
    <col min="5634" max="5634" width="5" style="108" customWidth="1"/>
    <col min="5635" max="5635" width="46.5" style="108" customWidth="1"/>
    <col min="5636" max="5636" width="13.6640625" style="108" customWidth="1"/>
    <col min="5637" max="5637" width="14.33203125" style="108" customWidth="1"/>
    <col min="5638" max="5638" width="19.83203125" style="108" customWidth="1"/>
    <col min="5639" max="5639" width="10.33203125" style="108" customWidth="1"/>
    <col min="5640" max="5640" width="10" style="108" customWidth="1"/>
    <col min="5641" max="5641" width="22.33203125" style="108" customWidth="1"/>
    <col min="5642" max="5642" width="10.33203125" style="108" customWidth="1"/>
    <col min="5643" max="5643" width="22" style="108" customWidth="1"/>
    <col min="5644" max="5644" width="10.33203125" style="108" customWidth="1"/>
    <col min="5645" max="5645" width="15.83203125" style="108" customWidth="1"/>
    <col min="5646" max="5651" width="9.1640625" style="108" customWidth="1"/>
    <col min="5652" max="5652" width="51.5" style="108" customWidth="1"/>
    <col min="5653" max="5653" width="58.6640625" style="108" customWidth="1"/>
    <col min="5654" max="5654" width="53.6640625" style="108" customWidth="1"/>
    <col min="5655" max="5655" width="58.5" style="108" customWidth="1"/>
    <col min="5656" max="5656" width="95.5" style="108" customWidth="1"/>
    <col min="5657" max="5657" width="50.6640625" style="108" customWidth="1"/>
    <col min="5658" max="5658" width="10.6640625" style="108" customWidth="1"/>
    <col min="5659" max="5659" width="10.5" style="108" customWidth="1"/>
    <col min="5660" max="5889" width="8.6640625" style="108"/>
    <col min="5890" max="5890" width="5" style="108" customWidth="1"/>
    <col min="5891" max="5891" width="46.5" style="108" customWidth="1"/>
    <col min="5892" max="5892" width="13.6640625" style="108" customWidth="1"/>
    <col min="5893" max="5893" width="14.33203125" style="108" customWidth="1"/>
    <col min="5894" max="5894" width="19.83203125" style="108" customWidth="1"/>
    <col min="5895" max="5895" width="10.33203125" style="108" customWidth="1"/>
    <col min="5896" max="5896" width="10" style="108" customWidth="1"/>
    <col min="5897" max="5897" width="22.33203125" style="108" customWidth="1"/>
    <col min="5898" max="5898" width="10.33203125" style="108" customWidth="1"/>
    <col min="5899" max="5899" width="22" style="108" customWidth="1"/>
    <col min="5900" max="5900" width="10.33203125" style="108" customWidth="1"/>
    <col min="5901" max="5901" width="15.83203125" style="108" customWidth="1"/>
    <col min="5902" max="5907" width="9.1640625" style="108" customWidth="1"/>
    <col min="5908" max="5908" width="51.5" style="108" customWidth="1"/>
    <col min="5909" max="5909" width="58.6640625" style="108" customWidth="1"/>
    <col min="5910" max="5910" width="53.6640625" style="108" customWidth="1"/>
    <col min="5911" max="5911" width="58.5" style="108" customWidth="1"/>
    <col min="5912" max="5912" width="95.5" style="108" customWidth="1"/>
    <col min="5913" max="5913" width="50.6640625" style="108" customWidth="1"/>
    <col min="5914" max="5914" width="10.6640625" style="108" customWidth="1"/>
    <col min="5915" max="5915" width="10.5" style="108" customWidth="1"/>
    <col min="5916" max="6145" width="8.6640625" style="108"/>
    <col min="6146" max="6146" width="5" style="108" customWidth="1"/>
    <col min="6147" max="6147" width="46.5" style="108" customWidth="1"/>
    <col min="6148" max="6148" width="13.6640625" style="108" customWidth="1"/>
    <col min="6149" max="6149" width="14.33203125" style="108" customWidth="1"/>
    <col min="6150" max="6150" width="19.83203125" style="108" customWidth="1"/>
    <col min="6151" max="6151" width="10.33203125" style="108" customWidth="1"/>
    <col min="6152" max="6152" width="10" style="108" customWidth="1"/>
    <col min="6153" max="6153" width="22.33203125" style="108" customWidth="1"/>
    <col min="6154" max="6154" width="10.33203125" style="108" customWidth="1"/>
    <col min="6155" max="6155" width="22" style="108" customWidth="1"/>
    <col min="6156" max="6156" width="10.33203125" style="108" customWidth="1"/>
    <col min="6157" max="6157" width="15.83203125" style="108" customWidth="1"/>
    <col min="6158" max="6163" width="9.1640625" style="108" customWidth="1"/>
    <col min="6164" max="6164" width="51.5" style="108" customWidth="1"/>
    <col min="6165" max="6165" width="58.6640625" style="108" customWidth="1"/>
    <col min="6166" max="6166" width="53.6640625" style="108" customWidth="1"/>
    <col min="6167" max="6167" width="58.5" style="108" customWidth="1"/>
    <col min="6168" max="6168" width="95.5" style="108" customWidth="1"/>
    <col min="6169" max="6169" width="50.6640625" style="108" customWidth="1"/>
    <col min="6170" max="6170" width="10.6640625" style="108" customWidth="1"/>
    <col min="6171" max="6171" width="10.5" style="108" customWidth="1"/>
    <col min="6172" max="6401" width="8.6640625" style="108"/>
    <col min="6402" max="6402" width="5" style="108" customWidth="1"/>
    <col min="6403" max="6403" width="46.5" style="108" customWidth="1"/>
    <col min="6404" max="6404" width="13.6640625" style="108" customWidth="1"/>
    <col min="6405" max="6405" width="14.33203125" style="108" customWidth="1"/>
    <col min="6406" max="6406" width="19.83203125" style="108" customWidth="1"/>
    <col min="6407" max="6407" width="10.33203125" style="108" customWidth="1"/>
    <col min="6408" max="6408" width="10" style="108" customWidth="1"/>
    <col min="6409" max="6409" width="22.33203125" style="108" customWidth="1"/>
    <col min="6410" max="6410" width="10.33203125" style="108" customWidth="1"/>
    <col min="6411" max="6411" width="22" style="108" customWidth="1"/>
    <col min="6412" max="6412" width="10.33203125" style="108" customWidth="1"/>
    <col min="6413" max="6413" width="15.83203125" style="108" customWidth="1"/>
    <col min="6414" max="6419" width="9.1640625" style="108" customWidth="1"/>
    <col min="6420" max="6420" width="51.5" style="108" customWidth="1"/>
    <col min="6421" max="6421" width="58.6640625" style="108" customWidth="1"/>
    <col min="6422" max="6422" width="53.6640625" style="108" customWidth="1"/>
    <col min="6423" max="6423" width="58.5" style="108" customWidth="1"/>
    <col min="6424" max="6424" width="95.5" style="108" customWidth="1"/>
    <col min="6425" max="6425" width="50.6640625" style="108" customWidth="1"/>
    <col min="6426" max="6426" width="10.6640625" style="108" customWidth="1"/>
    <col min="6427" max="6427" width="10.5" style="108" customWidth="1"/>
    <col min="6428" max="6657" width="8.6640625" style="108"/>
    <col min="6658" max="6658" width="5" style="108" customWidth="1"/>
    <col min="6659" max="6659" width="46.5" style="108" customWidth="1"/>
    <col min="6660" max="6660" width="13.6640625" style="108" customWidth="1"/>
    <col min="6661" max="6661" width="14.33203125" style="108" customWidth="1"/>
    <col min="6662" max="6662" width="19.83203125" style="108" customWidth="1"/>
    <col min="6663" max="6663" width="10.33203125" style="108" customWidth="1"/>
    <col min="6664" max="6664" width="10" style="108" customWidth="1"/>
    <col min="6665" max="6665" width="22.33203125" style="108" customWidth="1"/>
    <col min="6666" max="6666" width="10.33203125" style="108" customWidth="1"/>
    <col min="6667" max="6667" width="22" style="108" customWidth="1"/>
    <col min="6668" max="6668" width="10.33203125" style="108" customWidth="1"/>
    <col min="6669" max="6669" width="15.83203125" style="108" customWidth="1"/>
    <col min="6670" max="6675" width="9.1640625" style="108" customWidth="1"/>
    <col min="6676" max="6676" width="51.5" style="108" customWidth="1"/>
    <col min="6677" max="6677" width="58.6640625" style="108" customWidth="1"/>
    <col min="6678" max="6678" width="53.6640625" style="108" customWidth="1"/>
    <col min="6679" max="6679" width="58.5" style="108" customWidth="1"/>
    <col min="6680" max="6680" width="95.5" style="108" customWidth="1"/>
    <col min="6681" max="6681" width="50.6640625" style="108" customWidth="1"/>
    <col min="6682" max="6682" width="10.6640625" style="108" customWidth="1"/>
    <col min="6683" max="6683" width="10.5" style="108" customWidth="1"/>
    <col min="6684" max="6913" width="8.6640625" style="108"/>
    <col min="6914" max="6914" width="5" style="108" customWidth="1"/>
    <col min="6915" max="6915" width="46.5" style="108" customWidth="1"/>
    <col min="6916" max="6916" width="13.6640625" style="108" customWidth="1"/>
    <col min="6917" max="6917" width="14.33203125" style="108" customWidth="1"/>
    <col min="6918" max="6918" width="19.83203125" style="108" customWidth="1"/>
    <col min="6919" max="6919" width="10.33203125" style="108" customWidth="1"/>
    <col min="6920" max="6920" width="10" style="108" customWidth="1"/>
    <col min="6921" max="6921" width="22.33203125" style="108" customWidth="1"/>
    <col min="6922" max="6922" width="10.33203125" style="108" customWidth="1"/>
    <col min="6923" max="6923" width="22" style="108" customWidth="1"/>
    <col min="6924" max="6924" width="10.33203125" style="108" customWidth="1"/>
    <col min="6925" max="6925" width="15.83203125" style="108" customWidth="1"/>
    <col min="6926" max="6931" width="9.1640625" style="108" customWidth="1"/>
    <col min="6932" max="6932" width="51.5" style="108" customWidth="1"/>
    <col min="6933" max="6933" width="58.6640625" style="108" customWidth="1"/>
    <col min="6934" max="6934" width="53.6640625" style="108" customWidth="1"/>
    <col min="6935" max="6935" width="58.5" style="108" customWidth="1"/>
    <col min="6936" max="6936" width="95.5" style="108" customWidth="1"/>
    <col min="6937" max="6937" width="50.6640625" style="108" customWidth="1"/>
    <col min="6938" max="6938" width="10.6640625" style="108" customWidth="1"/>
    <col min="6939" max="6939" width="10.5" style="108" customWidth="1"/>
    <col min="6940" max="7169" width="8.6640625" style="108"/>
    <col min="7170" max="7170" width="5" style="108" customWidth="1"/>
    <col min="7171" max="7171" width="46.5" style="108" customWidth="1"/>
    <col min="7172" max="7172" width="13.6640625" style="108" customWidth="1"/>
    <col min="7173" max="7173" width="14.33203125" style="108" customWidth="1"/>
    <col min="7174" max="7174" width="19.83203125" style="108" customWidth="1"/>
    <col min="7175" max="7175" width="10.33203125" style="108" customWidth="1"/>
    <col min="7176" max="7176" width="10" style="108" customWidth="1"/>
    <col min="7177" max="7177" width="22.33203125" style="108" customWidth="1"/>
    <col min="7178" max="7178" width="10.33203125" style="108" customWidth="1"/>
    <col min="7179" max="7179" width="22" style="108" customWidth="1"/>
    <col min="7180" max="7180" width="10.33203125" style="108" customWidth="1"/>
    <col min="7181" max="7181" width="15.83203125" style="108" customWidth="1"/>
    <col min="7182" max="7187" width="9.1640625" style="108" customWidth="1"/>
    <col min="7188" max="7188" width="51.5" style="108" customWidth="1"/>
    <col min="7189" max="7189" width="58.6640625" style="108" customWidth="1"/>
    <col min="7190" max="7190" width="53.6640625" style="108" customWidth="1"/>
    <col min="7191" max="7191" width="58.5" style="108" customWidth="1"/>
    <col min="7192" max="7192" width="95.5" style="108" customWidth="1"/>
    <col min="7193" max="7193" width="50.6640625" style="108" customWidth="1"/>
    <col min="7194" max="7194" width="10.6640625" style="108" customWidth="1"/>
    <col min="7195" max="7195" width="10.5" style="108" customWidth="1"/>
    <col min="7196" max="7425" width="8.6640625" style="108"/>
    <col min="7426" max="7426" width="5" style="108" customWidth="1"/>
    <col min="7427" max="7427" width="46.5" style="108" customWidth="1"/>
    <col min="7428" max="7428" width="13.6640625" style="108" customWidth="1"/>
    <col min="7429" max="7429" width="14.33203125" style="108" customWidth="1"/>
    <col min="7430" max="7430" width="19.83203125" style="108" customWidth="1"/>
    <col min="7431" max="7431" width="10.33203125" style="108" customWidth="1"/>
    <col min="7432" max="7432" width="10" style="108" customWidth="1"/>
    <col min="7433" max="7433" width="22.33203125" style="108" customWidth="1"/>
    <col min="7434" max="7434" width="10.33203125" style="108" customWidth="1"/>
    <col min="7435" max="7435" width="22" style="108" customWidth="1"/>
    <col min="7436" max="7436" width="10.33203125" style="108" customWidth="1"/>
    <col min="7437" max="7437" width="15.83203125" style="108" customWidth="1"/>
    <col min="7438" max="7443" width="9.1640625" style="108" customWidth="1"/>
    <col min="7444" max="7444" width="51.5" style="108" customWidth="1"/>
    <col min="7445" max="7445" width="58.6640625" style="108" customWidth="1"/>
    <col min="7446" max="7446" width="53.6640625" style="108" customWidth="1"/>
    <col min="7447" max="7447" width="58.5" style="108" customWidth="1"/>
    <col min="7448" max="7448" width="95.5" style="108" customWidth="1"/>
    <col min="7449" max="7449" width="50.6640625" style="108" customWidth="1"/>
    <col min="7450" max="7450" width="10.6640625" style="108" customWidth="1"/>
    <col min="7451" max="7451" width="10.5" style="108" customWidth="1"/>
    <col min="7452" max="7681" width="8.6640625" style="108"/>
    <col min="7682" max="7682" width="5" style="108" customWidth="1"/>
    <col min="7683" max="7683" width="46.5" style="108" customWidth="1"/>
    <col min="7684" max="7684" width="13.6640625" style="108" customWidth="1"/>
    <col min="7685" max="7685" width="14.33203125" style="108" customWidth="1"/>
    <col min="7686" max="7686" width="19.83203125" style="108" customWidth="1"/>
    <col min="7687" max="7687" width="10.33203125" style="108" customWidth="1"/>
    <col min="7688" max="7688" width="10" style="108" customWidth="1"/>
    <col min="7689" max="7689" width="22.33203125" style="108" customWidth="1"/>
    <col min="7690" max="7690" width="10.33203125" style="108" customWidth="1"/>
    <col min="7691" max="7691" width="22" style="108" customWidth="1"/>
    <col min="7692" max="7692" width="10.33203125" style="108" customWidth="1"/>
    <col min="7693" max="7693" width="15.83203125" style="108" customWidth="1"/>
    <col min="7694" max="7699" width="9.1640625" style="108" customWidth="1"/>
    <col min="7700" max="7700" width="51.5" style="108" customWidth="1"/>
    <col min="7701" max="7701" width="58.6640625" style="108" customWidth="1"/>
    <col min="7702" max="7702" width="53.6640625" style="108" customWidth="1"/>
    <col min="7703" max="7703" width="58.5" style="108" customWidth="1"/>
    <col min="7704" max="7704" width="95.5" style="108" customWidth="1"/>
    <col min="7705" max="7705" width="50.6640625" style="108" customWidth="1"/>
    <col min="7706" max="7706" width="10.6640625" style="108" customWidth="1"/>
    <col min="7707" max="7707" width="10.5" style="108" customWidth="1"/>
    <col min="7708" max="7937" width="8.6640625" style="108"/>
    <col min="7938" max="7938" width="5" style="108" customWidth="1"/>
    <col min="7939" max="7939" width="46.5" style="108" customWidth="1"/>
    <col min="7940" max="7940" width="13.6640625" style="108" customWidth="1"/>
    <col min="7941" max="7941" width="14.33203125" style="108" customWidth="1"/>
    <col min="7942" max="7942" width="19.83203125" style="108" customWidth="1"/>
    <col min="7943" max="7943" width="10.33203125" style="108" customWidth="1"/>
    <col min="7944" max="7944" width="10" style="108" customWidth="1"/>
    <col min="7945" max="7945" width="22.33203125" style="108" customWidth="1"/>
    <col min="7946" max="7946" width="10.33203125" style="108" customWidth="1"/>
    <col min="7947" max="7947" width="22" style="108" customWidth="1"/>
    <col min="7948" max="7948" width="10.33203125" style="108" customWidth="1"/>
    <col min="7949" max="7949" width="15.83203125" style="108" customWidth="1"/>
    <col min="7950" max="7955" width="9.1640625" style="108" customWidth="1"/>
    <col min="7956" max="7956" width="51.5" style="108" customWidth="1"/>
    <col min="7957" max="7957" width="58.6640625" style="108" customWidth="1"/>
    <col min="7958" max="7958" width="53.6640625" style="108" customWidth="1"/>
    <col min="7959" max="7959" width="58.5" style="108" customWidth="1"/>
    <col min="7960" max="7960" width="95.5" style="108" customWidth="1"/>
    <col min="7961" max="7961" width="50.6640625" style="108" customWidth="1"/>
    <col min="7962" max="7962" width="10.6640625" style="108" customWidth="1"/>
    <col min="7963" max="7963" width="10.5" style="108" customWidth="1"/>
    <col min="7964" max="8193" width="8.6640625" style="108"/>
    <col min="8194" max="8194" width="5" style="108" customWidth="1"/>
    <col min="8195" max="8195" width="46.5" style="108" customWidth="1"/>
    <col min="8196" max="8196" width="13.6640625" style="108" customWidth="1"/>
    <col min="8197" max="8197" width="14.33203125" style="108" customWidth="1"/>
    <col min="8198" max="8198" width="19.83203125" style="108" customWidth="1"/>
    <col min="8199" max="8199" width="10.33203125" style="108" customWidth="1"/>
    <col min="8200" max="8200" width="10" style="108" customWidth="1"/>
    <col min="8201" max="8201" width="22.33203125" style="108" customWidth="1"/>
    <col min="8202" max="8202" width="10.33203125" style="108" customWidth="1"/>
    <col min="8203" max="8203" width="22" style="108" customWidth="1"/>
    <col min="8204" max="8204" width="10.33203125" style="108" customWidth="1"/>
    <col min="8205" max="8205" width="15.83203125" style="108" customWidth="1"/>
    <col min="8206" max="8211" width="9.1640625" style="108" customWidth="1"/>
    <col min="8212" max="8212" width="51.5" style="108" customWidth="1"/>
    <col min="8213" max="8213" width="58.6640625" style="108" customWidth="1"/>
    <col min="8214" max="8214" width="53.6640625" style="108" customWidth="1"/>
    <col min="8215" max="8215" width="58.5" style="108" customWidth="1"/>
    <col min="8216" max="8216" width="95.5" style="108" customWidth="1"/>
    <col min="8217" max="8217" width="50.6640625" style="108" customWidth="1"/>
    <col min="8218" max="8218" width="10.6640625" style="108" customWidth="1"/>
    <col min="8219" max="8219" width="10.5" style="108" customWidth="1"/>
    <col min="8220" max="8449" width="8.6640625" style="108"/>
    <col min="8450" max="8450" width="5" style="108" customWidth="1"/>
    <col min="8451" max="8451" width="46.5" style="108" customWidth="1"/>
    <col min="8452" max="8452" width="13.6640625" style="108" customWidth="1"/>
    <col min="8453" max="8453" width="14.33203125" style="108" customWidth="1"/>
    <col min="8454" max="8454" width="19.83203125" style="108" customWidth="1"/>
    <col min="8455" max="8455" width="10.33203125" style="108" customWidth="1"/>
    <col min="8456" max="8456" width="10" style="108" customWidth="1"/>
    <col min="8457" max="8457" width="22.33203125" style="108" customWidth="1"/>
    <col min="8458" max="8458" width="10.33203125" style="108" customWidth="1"/>
    <col min="8459" max="8459" width="22" style="108" customWidth="1"/>
    <col min="8460" max="8460" width="10.33203125" style="108" customWidth="1"/>
    <col min="8461" max="8461" width="15.83203125" style="108" customWidth="1"/>
    <col min="8462" max="8467" width="9.1640625" style="108" customWidth="1"/>
    <col min="8468" max="8468" width="51.5" style="108" customWidth="1"/>
    <col min="8469" max="8469" width="58.6640625" style="108" customWidth="1"/>
    <col min="8470" max="8470" width="53.6640625" style="108" customWidth="1"/>
    <col min="8471" max="8471" width="58.5" style="108" customWidth="1"/>
    <col min="8472" max="8472" width="95.5" style="108" customWidth="1"/>
    <col min="8473" max="8473" width="50.6640625" style="108" customWidth="1"/>
    <col min="8474" max="8474" width="10.6640625" style="108" customWidth="1"/>
    <col min="8475" max="8475" width="10.5" style="108" customWidth="1"/>
    <col min="8476" max="8705" width="8.6640625" style="108"/>
    <col min="8706" max="8706" width="5" style="108" customWidth="1"/>
    <col min="8707" max="8707" width="46.5" style="108" customWidth="1"/>
    <col min="8708" max="8708" width="13.6640625" style="108" customWidth="1"/>
    <col min="8709" max="8709" width="14.33203125" style="108" customWidth="1"/>
    <col min="8710" max="8710" width="19.83203125" style="108" customWidth="1"/>
    <col min="8711" max="8711" width="10.33203125" style="108" customWidth="1"/>
    <col min="8712" max="8712" width="10" style="108" customWidth="1"/>
    <col min="8713" max="8713" width="22.33203125" style="108" customWidth="1"/>
    <col min="8714" max="8714" width="10.33203125" style="108" customWidth="1"/>
    <col min="8715" max="8715" width="22" style="108" customWidth="1"/>
    <col min="8716" max="8716" width="10.33203125" style="108" customWidth="1"/>
    <col min="8717" max="8717" width="15.83203125" style="108" customWidth="1"/>
    <col min="8718" max="8723" width="9.1640625" style="108" customWidth="1"/>
    <col min="8724" max="8724" width="51.5" style="108" customWidth="1"/>
    <col min="8725" max="8725" width="58.6640625" style="108" customWidth="1"/>
    <col min="8726" max="8726" width="53.6640625" style="108" customWidth="1"/>
    <col min="8727" max="8727" width="58.5" style="108" customWidth="1"/>
    <col min="8728" max="8728" width="95.5" style="108" customWidth="1"/>
    <col min="8729" max="8729" width="50.6640625" style="108" customWidth="1"/>
    <col min="8730" max="8730" width="10.6640625" style="108" customWidth="1"/>
    <col min="8731" max="8731" width="10.5" style="108" customWidth="1"/>
    <col min="8732" max="8961" width="8.6640625" style="108"/>
    <col min="8962" max="8962" width="5" style="108" customWidth="1"/>
    <col min="8963" max="8963" width="46.5" style="108" customWidth="1"/>
    <col min="8964" max="8964" width="13.6640625" style="108" customWidth="1"/>
    <col min="8965" max="8965" width="14.33203125" style="108" customWidth="1"/>
    <col min="8966" max="8966" width="19.83203125" style="108" customWidth="1"/>
    <col min="8967" max="8967" width="10.33203125" style="108" customWidth="1"/>
    <col min="8968" max="8968" width="10" style="108" customWidth="1"/>
    <col min="8969" max="8969" width="22.33203125" style="108" customWidth="1"/>
    <col min="8970" max="8970" width="10.33203125" style="108" customWidth="1"/>
    <col min="8971" max="8971" width="22" style="108" customWidth="1"/>
    <col min="8972" max="8972" width="10.33203125" style="108" customWidth="1"/>
    <col min="8973" max="8973" width="15.83203125" style="108" customWidth="1"/>
    <col min="8974" max="8979" width="9.1640625" style="108" customWidth="1"/>
    <col min="8980" max="8980" width="51.5" style="108" customWidth="1"/>
    <col min="8981" max="8981" width="58.6640625" style="108" customWidth="1"/>
    <col min="8982" max="8982" width="53.6640625" style="108" customWidth="1"/>
    <col min="8983" max="8983" width="58.5" style="108" customWidth="1"/>
    <col min="8984" max="8984" width="95.5" style="108" customWidth="1"/>
    <col min="8985" max="8985" width="50.6640625" style="108" customWidth="1"/>
    <col min="8986" max="8986" width="10.6640625" style="108" customWidth="1"/>
    <col min="8987" max="8987" width="10.5" style="108" customWidth="1"/>
    <col min="8988" max="9217" width="8.6640625" style="108"/>
    <col min="9218" max="9218" width="5" style="108" customWidth="1"/>
    <col min="9219" max="9219" width="46.5" style="108" customWidth="1"/>
    <col min="9220" max="9220" width="13.6640625" style="108" customWidth="1"/>
    <col min="9221" max="9221" width="14.33203125" style="108" customWidth="1"/>
    <col min="9222" max="9222" width="19.83203125" style="108" customWidth="1"/>
    <col min="9223" max="9223" width="10.33203125" style="108" customWidth="1"/>
    <col min="9224" max="9224" width="10" style="108" customWidth="1"/>
    <col min="9225" max="9225" width="22.33203125" style="108" customWidth="1"/>
    <col min="9226" max="9226" width="10.33203125" style="108" customWidth="1"/>
    <col min="9227" max="9227" width="22" style="108" customWidth="1"/>
    <col min="9228" max="9228" width="10.33203125" style="108" customWidth="1"/>
    <col min="9229" max="9229" width="15.83203125" style="108" customWidth="1"/>
    <col min="9230" max="9235" width="9.1640625" style="108" customWidth="1"/>
    <col min="9236" max="9236" width="51.5" style="108" customWidth="1"/>
    <col min="9237" max="9237" width="58.6640625" style="108" customWidth="1"/>
    <col min="9238" max="9238" width="53.6640625" style="108" customWidth="1"/>
    <col min="9239" max="9239" width="58.5" style="108" customWidth="1"/>
    <col min="9240" max="9240" width="95.5" style="108" customWidth="1"/>
    <col min="9241" max="9241" width="50.6640625" style="108" customWidth="1"/>
    <col min="9242" max="9242" width="10.6640625" style="108" customWidth="1"/>
    <col min="9243" max="9243" width="10.5" style="108" customWidth="1"/>
    <col min="9244" max="9473" width="8.6640625" style="108"/>
    <col min="9474" max="9474" width="5" style="108" customWidth="1"/>
    <col min="9475" max="9475" width="46.5" style="108" customWidth="1"/>
    <col min="9476" max="9476" width="13.6640625" style="108" customWidth="1"/>
    <col min="9477" max="9477" width="14.33203125" style="108" customWidth="1"/>
    <col min="9478" max="9478" width="19.83203125" style="108" customWidth="1"/>
    <col min="9479" max="9479" width="10.33203125" style="108" customWidth="1"/>
    <col min="9480" max="9480" width="10" style="108" customWidth="1"/>
    <col min="9481" max="9481" width="22.33203125" style="108" customWidth="1"/>
    <col min="9482" max="9482" width="10.33203125" style="108" customWidth="1"/>
    <col min="9483" max="9483" width="22" style="108" customWidth="1"/>
    <col min="9484" max="9484" width="10.33203125" style="108" customWidth="1"/>
    <col min="9485" max="9485" width="15.83203125" style="108" customWidth="1"/>
    <col min="9486" max="9491" width="9.1640625" style="108" customWidth="1"/>
    <col min="9492" max="9492" width="51.5" style="108" customWidth="1"/>
    <col min="9493" max="9493" width="58.6640625" style="108" customWidth="1"/>
    <col min="9494" max="9494" width="53.6640625" style="108" customWidth="1"/>
    <col min="9495" max="9495" width="58.5" style="108" customWidth="1"/>
    <col min="9496" max="9496" width="95.5" style="108" customWidth="1"/>
    <col min="9497" max="9497" width="50.6640625" style="108" customWidth="1"/>
    <col min="9498" max="9498" width="10.6640625" style="108" customWidth="1"/>
    <col min="9499" max="9499" width="10.5" style="108" customWidth="1"/>
    <col min="9500" max="9729" width="8.6640625" style="108"/>
    <col min="9730" max="9730" width="5" style="108" customWidth="1"/>
    <col min="9731" max="9731" width="46.5" style="108" customWidth="1"/>
    <col min="9732" max="9732" width="13.6640625" style="108" customWidth="1"/>
    <col min="9733" max="9733" width="14.33203125" style="108" customWidth="1"/>
    <col min="9734" max="9734" width="19.83203125" style="108" customWidth="1"/>
    <col min="9735" max="9735" width="10.33203125" style="108" customWidth="1"/>
    <col min="9736" max="9736" width="10" style="108" customWidth="1"/>
    <col min="9737" max="9737" width="22.33203125" style="108" customWidth="1"/>
    <col min="9738" max="9738" width="10.33203125" style="108" customWidth="1"/>
    <col min="9739" max="9739" width="22" style="108" customWidth="1"/>
    <col min="9740" max="9740" width="10.33203125" style="108" customWidth="1"/>
    <col min="9741" max="9741" width="15.83203125" style="108" customWidth="1"/>
    <col min="9742" max="9747" width="9.1640625" style="108" customWidth="1"/>
    <col min="9748" max="9748" width="51.5" style="108" customWidth="1"/>
    <col min="9749" max="9749" width="58.6640625" style="108" customWidth="1"/>
    <col min="9750" max="9750" width="53.6640625" style="108" customWidth="1"/>
    <col min="9751" max="9751" width="58.5" style="108" customWidth="1"/>
    <col min="9752" max="9752" width="95.5" style="108" customWidth="1"/>
    <col min="9753" max="9753" width="50.6640625" style="108" customWidth="1"/>
    <col min="9754" max="9754" width="10.6640625" style="108" customWidth="1"/>
    <col min="9755" max="9755" width="10.5" style="108" customWidth="1"/>
    <col min="9756" max="9985" width="8.6640625" style="108"/>
    <col min="9986" max="9986" width="5" style="108" customWidth="1"/>
    <col min="9987" max="9987" width="46.5" style="108" customWidth="1"/>
    <col min="9988" max="9988" width="13.6640625" style="108" customWidth="1"/>
    <col min="9989" max="9989" width="14.33203125" style="108" customWidth="1"/>
    <col min="9990" max="9990" width="19.83203125" style="108" customWidth="1"/>
    <col min="9991" max="9991" width="10.33203125" style="108" customWidth="1"/>
    <col min="9992" max="9992" width="10" style="108" customWidth="1"/>
    <col min="9993" max="9993" width="22.33203125" style="108" customWidth="1"/>
    <col min="9994" max="9994" width="10.33203125" style="108" customWidth="1"/>
    <col min="9995" max="9995" width="22" style="108" customWidth="1"/>
    <col min="9996" max="9996" width="10.33203125" style="108" customWidth="1"/>
    <col min="9997" max="9997" width="15.83203125" style="108" customWidth="1"/>
    <col min="9998" max="10003" width="9.1640625" style="108" customWidth="1"/>
    <col min="10004" max="10004" width="51.5" style="108" customWidth="1"/>
    <col min="10005" max="10005" width="58.6640625" style="108" customWidth="1"/>
    <col min="10006" max="10006" width="53.6640625" style="108" customWidth="1"/>
    <col min="10007" max="10007" width="58.5" style="108" customWidth="1"/>
    <col min="10008" max="10008" width="95.5" style="108" customWidth="1"/>
    <col min="10009" max="10009" width="50.6640625" style="108" customWidth="1"/>
    <col min="10010" max="10010" width="10.6640625" style="108" customWidth="1"/>
    <col min="10011" max="10011" width="10.5" style="108" customWidth="1"/>
    <col min="10012" max="10241" width="8.6640625" style="108"/>
    <col min="10242" max="10242" width="5" style="108" customWidth="1"/>
    <col min="10243" max="10243" width="46.5" style="108" customWidth="1"/>
    <col min="10244" max="10244" width="13.6640625" style="108" customWidth="1"/>
    <col min="10245" max="10245" width="14.33203125" style="108" customWidth="1"/>
    <col min="10246" max="10246" width="19.83203125" style="108" customWidth="1"/>
    <col min="10247" max="10247" width="10.33203125" style="108" customWidth="1"/>
    <col min="10248" max="10248" width="10" style="108" customWidth="1"/>
    <col min="10249" max="10249" width="22.33203125" style="108" customWidth="1"/>
    <col min="10250" max="10250" width="10.33203125" style="108" customWidth="1"/>
    <col min="10251" max="10251" width="22" style="108" customWidth="1"/>
    <col min="10252" max="10252" width="10.33203125" style="108" customWidth="1"/>
    <col min="10253" max="10253" width="15.83203125" style="108" customWidth="1"/>
    <col min="10254" max="10259" width="9.1640625" style="108" customWidth="1"/>
    <col min="10260" max="10260" width="51.5" style="108" customWidth="1"/>
    <col min="10261" max="10261" width="58.6640625" style="108" customWidth="1"/>
    <col min="10262" max="10262" width="53.6640625" style="108" customWidth="1"/>
    <col min="10263" max="10263" width="58.5" style="108" customWidth="1"/>
    <col min="10264" max="10264" width="95.5" style="108" customWidth="1"/>
    <col min="10265" max="10265" width="50.6640625" style="108" customWidth="1"/>
    <col min="10266" max="10266" width="10.6640625" style="108" customWidth="1"/>
    <col min="10267" max="10267" width="10.5" style="108" customWidth="1"/>
    <col min="10268" max="10497" width="8.6640625" style="108"/>
    <col min="10498" max="10498" width="5" style="108" customWidth="1"/>
    <col min="10499" max="10499" width="46.5" style="108" customWidth="1"/>
    <col min="10500" max="10500" width="13.6640625" style="108" customWidth="1"/>
    <col min="10501" max="10501" width="14.33203125" style="108" customWidth="1"/>
    <col min="10502" max="10502" width="19.83203125" style="108" customWidth="1"/>
    <col min="10503" max="10503" width="10.33203125" style="108" customWidth="1"/>
    <col min="10504" max="10504" width="10" style="108" customWidth="1"/>
    <col min="10505" max="10505" width="22.33203125" style="108" customWidth="1"/>
    <col min="10506" max="10506" width="10.33203125" style="108" customWidth="1"/>
    <col min="10507" max="10507" width="22" style="108" customWidth="1"/>
    <col min="10508" max="10508" width="10.33203125" style="108" customWidth="1"/>
    <col min="10509" max="10509" width="15.83203125" style="108" customWidth="1"/>
    <col min="10510" max="10515" width="9.1640625" style="108" customWidth="1"/>
    <col min="10516" max="10516" width="51.5" style="108" customWidth="1"/>
    <col min="10517" max="10517" width="58.6640625" style="108" customWidth="1"/>
    <col min="10518" max="10518" width="53.6640625" style="108" customWidth="1"/>
    <col min="10519" max="10519" width="58.5" style="108" customWidth="1"/>
    <col min="10520" max="10520" width="95.5" style="108" customWidth="1"/>
    <col min="10521" max="10521" width="50.6640625" style="108" customWidth="1"/>
    <col min="10522" max="10522" width="10.6640625" style="108" customWidth="1"/>
    <col min="10523" max="10523" width="10.5" style="108" customWidth="1"/>
    <col min="10524" max="10753" width="8.6640625" style="108"/>
    <col min="10754" max="10754" width="5" style="108" customWidth="1"/>
    <col min="10755" max="10755" width="46.5" style="108" customWidth="1"/>
    <col min="10756" max="10756" width="13.6640625" style="108" customWidth="1"/>
    <col min="10757" max="10757" width="14.33203125" style="108" customWidth="1"/>
    <col min="10758" max="10758" width="19.83203125" style="108" customWidth="1"/>
    <col min="10759" max="10759" width="10.33203125" style="108" customWidth="1"/>
    <col min="10760" max="10760" width="10" style="108" customWidth="1"/>
    <col min="10761" max="10761" width="22.33203125" style="108" customWidth="1"/>
    <col min="10762" max="10762" width="10.33203125" style="108" customWidth="1"/>
    <col min="10763" max="10763" width="22" style="108" customWidth="1"/>
    <col min="10764" max="10764" width="10.33203125" style="108" customWidth="1"/>
    <col min="10765" max="10765" width="15.83203125" style="108" customWidth="1"/>
    <col min="10766" max="10771" width="9.1640625" style="108" customWidth="1"/>
    <col min="10772" max="10772" width="51.5" style="108" customWidth="1"/>
    <col min="10773" max="10773" width="58.6640625" style="108" customWidth="1"/>
    <col min="10774" max="10774" width="53.6640625" style="108" customWidth="1"/>
    <col min="10775" max="10775" width="58.5" style="108" customWidth="1"/>
    <col min="10776" max="10776" width="95.5" style="108" customWidth="1"/>
    <col min="10777" max="10777" width="50.6640625" style="108" customWidth="1"/>
    <col min="10778" max="10778" width="10.6640625" style="108" customWidth="1"/>
    <col min="10779" max="10779" width="10.5" style="108" customWidth="1"/>
    <col min="10780" max="11009" width="8.6640625" style="108"/>
    <col min="11010" max="11010" width="5" style="108" customWidth="1"/>
    <col min="11011" max="11011" width="46.5" style="108" customWidth="1"/>
    <col min="11012" max="11012" width="13.6640625" style="108" customWidth="1"/>
    <col min="11013" max="11013" width="14.33203125" style="108" customWidth="1"/>
    <col min="11014" max="11014" width="19.83203125" style="108" customWidth="1"/>
    <col min="11015" max="11015" width="10.33203125" style="108" customWidth="1"/>
    <col min="11016" max="11016" width="10" style="108" customWidth="1"/>
    <col min="11017" max="11017" width="22.33203125" style="108" customWidth="1"/>
    <col min="11018" max="11018" width="10.33203125" style="108" customWidth="1"/>
    <col min="11019" max="11019" width="22" style="108" customWidth="1"/>
    <col min="11020" max="11020" width="10.33203125" style="108" customWidth="1"/>
    <col min="11021" max="11021" width="15.83203125" style="108" customWidth="1"/>
    <col min="11022" max="11027" width="9.1640625" style="108" customWidth="1"/>
    <col min="11028" max="11028" width="51.5" style="108" customWidth="1"/>
    <col min="11029" max="11029" width="58.6640625" style="108" customWidth="1"/>
    <col min="11030" max="11030" width="53.6640625" style="108" customWidth="1"/>
    <col min="11031" max="11031" width="58.5" style="108" customWidth="1"/>
    <col min="11032" max="11032" width="95.5" style="108" customWidth="1"/>
    <col min="11033" max="11033" width="50.6640625" style="108" customWidth="1"/>
    <col min="11034" max="11034" width="10.6640625" style="108" customWidth="1"/>
    <col min="11035" max="11035" width="10.5" style="108" customWidth="1"/>
    <col min="11036" max="11265" width="8.6640625" style="108"/>
    <col min="11266" max="11266" width="5" style="108" customWidth="1"/>
    <col min="11267" max="11267" width="46.5" style="108" customWidth="1"/>
    <col min="11268" max="11268" width="13.6640625" style="108" customWidth="1"/>
    <col min="11269" max="11269" width="14.33203125" style="108" customWidth="1"/>
    <col min="11270" max="11270" width="19.83203125" style="108" customWidth="1"/>
    <col min="11271" max="11271" width="10.33203125" style="108" customWidth="1"/>
    <col min="11272" max="11272" width="10" style="108" customWidth="1"/>
    <col min="11273" max="11273" width="22.33203125" style="108" customWidth="1"/>
    <col min="11274" max="11274" width="10.33203125" style="108" customWidth="1"/>
    <col min="11275" max="11275" width="22" style="108" customWidth="1"/>
    <col min="11276" max="11276" width="10.33203125" style="108" customWidth="1"/>
    <col min="11277" max="11277" width="15.83203125" style="108" customWidth="1"/>
    <col min="11278" max="11283" width="9.1640625" style="108" customWidth="1"/>
    <col min="11284" max="11284" width="51.5" style="108" customWidth="1"/>
    <col min="11285" max="11285" width="58.6640625" style="108" customWidth="1"/>
    <col min="11286" max="11286" width="53.6640625" style="108" customWidth="1"/>
    <col min="11287" max="11287" width="58.5" style="108" customWidth="1"/>
    <col min="11288" max="11288" width="95.5" style="108" customWidth="1"/>
    <col min="11289" max="11289" width="50.6640625" style="108" customWidth="1"/>
    <col min="11290" max="11290" width="10.6640625" style="108" customWidth="1"/>
    <col min="11291" max="11291" width="10.5" style="108" customWidth="1"/>
    <col min="11292" max="11521" width="8.6640625" style="108"/>
    <col min="11522" max="11522" width="5" style="108" customWidth="1"/>
    <col min="11523" max="11523" width="46.5" style="108" customWidth="1"/>
    <col min="11524" max="11524" width="13.6640625" style="108" customWidth="1"/>
    <col min="11525" max="11525" width="14.33203125" style="108" customWidth="1"/>
    <col min="11526" max="11526" width="19.83203125" style="108" customWidth="1"/>
    <col min="11527" max="11527" width="10.33203125" style="108" customWidth="1"/>
    <col min="11528" max="11528" width="10" style="108" customWidth="1"/>
    <col min="11529" max="11529" width="22.33203125" style="108" customWidth="1"/>
    <col min="11530" max="11530" width="10.33203125" style="108" customWidth="1"/>
    <col min="11531" max="11531" width="22" style="108" customWidth="1"/>
    <col min="11532" max="11532" width="10.33203125" style="108" customWidth="1"/>
    <col min="11533" max="11533" width="15.83203125" style="108" customWidth="1"/>
    <col min="11534" max="11539" width="9.1640625" style="108" customWidth="1"/>
    <col min="11540" max="11540" width="51.5" style="108" customWidth="1"/>
    <col min="11541" max="11541" width="58.6640625" style="108" customWidth="1"/>
    <col min="11542" max="11542" width="53.6640625" style="108" customWidth="1"/>
    <col min="11543" max="11543" width="58.5" style="108" customWidth="1"/>
    <col min="11544" max="11544" width="95.5" style="108" customWidth="1"/>
    <col min="11545" max="11545" width="50.6640625" style="108" customWidth="1"/>
    <col min="11546" max="11546" width="10.6640625" style="108" customWidth="1"/>
    <col min="11547" max="11547" width="10.5" style="108" customWidth="1"/>
    <col min="11548" max="11777" width="8.6640625" style="108"/>
    <col min="11778" max="11778" width="5" style="108" customWidth="1"/>
    <col min="11779" max="11779" width="46.5" style="108" customWidth="1"/>
    <col min="11780" max="11780" width="13.6640625" style="108" customWidth="1"/>
    <col min="11781" max="11781" width="14.33203125" style="108" customWidth="1"/>
    <col min="11782" max="11782" width="19.83203125" style="108" customWidth="1"/>
    <col min="11783" max="11783" width="10.33203125" style="108" customWidth="1"/>
    <col min="11784" max="11784" width="10" style="108" customWidth="1"/>
    <col min="11785" max="11785" width="22.33203125" style="108" customWidth="1"/>
    <col min="11786" max="11786" width="10.33203125" style="108" customWidth="1"/>
    <col min="11787" max="11787" width="22" style="108" customWidth="1"/>
    <col min="11788" max="11788" width="10.33203125" style="108" customWidth="1"/>
    <col min="11789" max="11789" width="15.83203125" style="108" customWidth="1"/>
    <col min="11790" max="11795" width="9.1640625" style="108" customWidth="1"/>
    <col min="11796" max="11796" width="51.5" style="108" customWidth="1"/>
    <col min="11797" max="11797" width="58.6640625" style="108" customWidth="1"/>
    <col min="11798" max="11798" width="53.6640625" style="108" customWidth="1"/>
    <col min="11799" max="11799" width="58.5" style="108" customWidth="1"/>
    <col min="11800" max="11800" width="95.5" style="108" customWidth="1"/>
    <col min="11801" max="11801" width="50.6640625" style="108" customWidth="1"/>
    <col min="11802" max="11802" width="10.6640625" style="108" customWidth="1"/>
    <col min="11803" max="11803" width="10.5" style="108" customWidth="1"/>
    <col min="11804" max="12033" width="8.6640625" style="108"/>
    <col min="12034" max="12034" width="5" style="108" customWidth="1"/>
    <col min="12035" max="12035" width="46.5" style="108" customWidth="1"/>
    <col min="12036" max="12036" width="13.6640625" style="108" customWidth="1"/>
    <col min="12037" max="12037" width="14.33203125" style="108" customWidth="1"/>
    <col min="12038" max="12038" width="19.83203125" style="108" customWidth="1"/>
    <col min="12039" max="12039" width="10.33203125" style="108" customWidth="1"/>
    <col min="12040" max="12040" width="10" style="108" customWidth="1"/>
    <col min="12041" max="12041" width="22.33203125" style="108" customWidth="1"/>
    <col min="12042" max="12042" width="10.33203125" style="108" customWidth="1"/>
    <col min="12043" max="12043" width="22" style="108" customWidth="1"/>
    <col min="12044" max="12044" width="10.33203125" style="108" customWidth="1"/>
    <col min="12045" max="12045" width="15.83203125" style="108" customWidth="1"/>
    <col min="12046" max="12051" width="9.1640625" style="108" customWidth="1"/>
    <col min="12052" max="12052" width="51.5" style="108" customWidth="1"/>
    <col min="12053" max="12053" width="58.6640625" style="108" customWidth="1"/>
    <col min="12054" max="12054" width="53.6640625" style="108" customWidth="1"/>
    <col min="12055" max="12055" width="58.5" style="108" customWidth="1"/>
    <col min="12056" max="12056" width="95.5" style="108" customWidth="1"/>
    <col min="12057" max="12057" width="50.6640625" style="108" customWidth="1"/>
    <col min="12058" max="12058" width="10.6640625" style="108" customWidth="1"/>
    <col min="12059" max="12059" width="10.5" style="108" customWidth="1"/>
    <col min="12060" max="12289" width="8.6640625" style="108"/>
    <col min="12290" max="12290" width="5" style="108" customWidth="1"/>
    <col min="12291" max="12291" width="46.5" style="108" customWidth="1"/>
    <col min="12292" max="12292" width="13.6640625" style="108" customWidth="1"/>
    <col min="12293" max="12293" width="14.33203125" style="108" customWidth="1"/>
    <col min="12294" max="12294" width="19.83203125" style="108" customWidth="1"/>
    <col min="12295" max="12295" width="10.33203125" style="108" customWidth="1"/>
    <col min="12296" max="12296" width="10" style="108" customWidth="1"/>
    <col min="12297" max="12297" width="22.33203125" style="108" customWidth="1"/>
    <col min="12298" max="12298" width="10.33203125" style="108" customWidth="1"/>
    <col min="12299" max="12299" width="22" style="108" customWidth="1"/>
    <col min="12300" max="12300" width="10.33203125" style="108" customWidth="1"/>
    <col min="12301" max="12301" width="15.83203125" style="108" customWidth="1"/>
    <col min="12302" max="12307" width="9.1640625" style="108" customWidth="1"/>
    <col min="12308" max="12308" width="51.5" style="108" customWidth="1"/>
    <col min="12309" max="12309" width="58.6640625" style="108" customWidth="1"/>
    <col min="12310" max="12310" width="53.6640625" style="108" customWidth="1"/>
    <col min="12311" max="12311" width="58.5" style="108" customWidth="1"/>
    <col min="12312" max="12312" width="95.5" style="108" customWidth="1"/>
    <col min="12313" max="12313" width="50.6640625" style="108" customWidth="1"/>
    <col min="12314" max="12314" width="10.6640625" style="108" customWidth="1"/>
    <col min="12315" max="12315" width="10.5" style="108" customWidth="1"/>
    <col min="12316" max="12545" width="8.6640625" style="108"/>
    <col min="12546" max="12546" width="5" style="108" customWidth="1"/>
    <col min="12547" max="12547" width="46.5" style="108" customWidth="1"/>
    <col min="12548" max="12548" width="13.6640625" style="108" customWidth="1"/>
    <col min="12549" max="12549" width="14.33203125" style="108" customWidth="1"/>
    <col min="12550" max="12550" width="19.83203125" style="108" customWidth="1"/>
    <col min="12551" max="12551" width="10.33203125" style="108" customWidth="1"/>
    <col min="12552" max="12552" width="10" style="108" customWidth="1"/>
    <col min="12553" max="12553" width="22.33203125" style="108" customWidth="1"/>
    <col min="12554" max="12554" width="10.33203125" style="108" customWidth="1"/>
    <col min="12555" max="12555" width="22" style="108" customWidth="1"/>
    <col min="12556" max="12556" width="10.33203125" style="108" customWidth="1"/>
    <col min="12557" max="12557" width="15.83203125" style="108" customWidth="1"/>
    <col min="12558" max="12563" width="9.1640625" style="108" customWidth="1"/>
    <col min="12564" max="12564" width="51.5" style="108" customWidth="1"/>
    <col min="12565" max="12565" width="58.6640625" style="108" customWidth="1"/>
    <col min="12566" max="12566" width="53.6640625" style="108" customWidth="1"/>
    <col min="12567" max="12567" width="58.5" style="108" customWidth="1"/>
    <col min="12568" max="12568" width="95.5" style="108" customWidth="1"/>
    <col min="12569" max="12569" width="50.6640625" style="108" customWidth="1"/>
    <col min="12570" max="12570" width="10.6640625" style="108" customWidth="1"/>
    <col min="12571" max="12571" width="10.5" style="108" customWidth="1"/>
    <col min="12572" max="12801" width="8.6640625" style="108"/>
    <col min="12802" max="12802" width="5" style="108" customWidth="1"/>
    <col min="12803" max="12803" width="46.5" style="108" customWidth="1"/>
    <col min="12804" max="12804" width="13.6640625" style="108" customWidth="1"/>
    <col min="12805" max="12805" width="14.33203125" style="108" customWidth="1"/>
    <col min="12806" max="12806" width="19.83203125" style="108" customWidth="1"/>
    <col min="12807" max="12807" width="10.33203125" style="108" customWidth="1"/>
    <col min="12808" max="12808" width="10" style="108" customWidth="1"/>
    <col min="12809" max="12809" width="22.33203125" style="108" customWidth="1"/>
    <col min="12810" max="12810" width="10.33203125" style="108" customWidth="1"/>
    <col min="12811" max="12811" width="22" style="108" customWidth="1"/>
    <col min="12812" max="12812" width="10.33203125" style="108" customWidth="1"/>
    <col min="12813" max="12813" width="15.83203125" style="108" customWidth="1"/>
    <col min="12814" max="12819" width="9.1640625" style="108" customWidth="1"/>
    <col min="12820" max="12820" width="51.5" style="108" customWidth="1"/>
    <col min="12821" max="12821" width="58.6640625" style="108" customWidth="1"/>
    <col min="12822" max="12822" width="53.6640625" style="108" customWidth="1"/>
    <col min="12823" max="12823" width="58.5" style="108" customWidth="1"/>
    <col min="12824" max="12824" width="95.5" style="108" customWidth="1"/>
    <col min="12825" max="12825" width="50.6640625" style="108" customWidth="1"/>
    <col min="12826" max="12826" width="10.6640625" style="108" customWidth="1"/>
    <col min="12827" max="12827" width="10.5" style="108" customWidth="1"/>
    <col min="12828" max="13057" width="8.6640625" style="108"/>
    <col min="13058" max="13058" width="5" style="108" customWidth="1"/>
    <col min="13059" max="13059" width="46.5" style="108" customWidth="1"/>
    <col min="13060" max="13060" width="13.6640625" style="108" customWidth="1"/>
    <col min="13061" max="13061" width="14.33203125" style="108" customWidth="1"/>
    <col min="13062" max="13062" width="19.83203125" style="108" customWidth="1"/>
    <col min="13063" max="13063" width="10.33203125" style="108" customWidth="1"/>
    <col min="13064" max="13064" width="10" style="108" customWidth="1"/>
    <col min="13065" max="13065" width="22.33203125" style="108" customWidth="1"/>
    <col min="13066" max="13066" width="10.33203125" style="108" customWidth="1"/>
    <col min="13067" max="13067" width="22" style="108" customWidth="1"/>
    <col min="13068" max="13068" width="10.33203125" style="108" customWidth="1"/>
    <col min="13069" max="13069" width="15.83203125" style="108" customWidth="1"/>
    <col min="13070" max="13075" width="9.1640625" style="108" customWidth="1"/>
    <col min="13076" max="13076" width="51.5" style="108" customWidth="1"/>
    <col min="13077" max="13077" width="58.6640625" style="108" customWidth="1"/>
    <col min="13078" max="13078" width="53.6640625" style="108" customWidth="1"/>
    <col min="13079" max="13079" width="58.5" style="108" customWidth="1"/>
    <col min="13080" max="13080" width="95.5" style="108" customWidth="1"/>
    <col min="13081" max="13081" width="50.6640625" style="108" customWidth="1"/>
    <col min="13082" max="13082" width="10.6640625" style="108" customWidth="1"/>
    <col min="13083" max="13083" width="10.5" style="108" customWidth="1"/>
    <col min="13084" max="13313" width="8.6640625" style="108"/>
    <col min="13314" max="13314" width="5" style="108" customWidth="1"/>
    <col min="13315" max="13315" width="46.5" style="108" customWidth="1"/>
    <col min="13316" max="13316" width="13.6640625" style="108" customWidth="1"/>
    <col min="13317" max="13317" width="14.33203125" style="108" customWidth="1"/>
    <col min="13318" max="13318" width="19.83203125" style="108" customWidth="1"/>
    <col min="13319" max="13319" width="10.33203125" style="108" customWidth="1"/>
    <col min="13320" max="13320" width="10" style="108" customWidth="1"/>
    <col min="13321" max="13321" width="22.33203125" style="108" customWidth="1"/>
    <col min="13322" max="13322" width="10.33203125" style="108" customWidth="1"/>
    <col min="13323" max="13323" width="22" style="108" customWidth="1"/>
    <col min="13324" max="13324" width="10.33203125" style="108" customWidth="1"/>
    <col min="13325" max="13325" width="15.83203125" style="108" customWidth="1"/>
    <col min="13326" max="13331" width="9.1640625" style="108" customWidth="1"/>
    <col min="13332" max="13332" width="51.5" style="108" customWidth="1"/>
    <col min="13333" max="13333" width="58.6640625" style="108" customWidth="1"/>
    <col min="13334" max="13334" width="53.6640625" style="108" customWidth="1"/>
    <col min="13335" max="13335" width="58.5" style="108" customWidth="1"/>
    <col min="13336" max="13336" width="95.5" style="108" customWidth="1"/>
    <col min="13337" max="13337" width="50.6640625" style="108" customWidth="1"/>
    <col min="13338" max="13338" width="10.6640625" style="108" customWidth="1"/>
    <col min="13339" max="13339" width="10.5" style="108" customWidth="1"/>
    <col min="13340" max="13569" width="8.6640625" style="108"/>
    <col min="13570" max="13570" width="5" style="108" customWidth="1"/>
    <col min="13571" max="13571" width="46.5" style="108" customWidth="1"/>
    <col min="13572" max="13572" width="13.6640625" style="108" customWidth="1"/>
    <col min="13573" max="13573" width="14.33203125" style="108" customWidth="1"/>
    <col min="13574" max="13574" width="19.83203125" style="108" customWidth="1"/>
    <col min="13575" max="13575" width="10.33203125" style="108" customWidth="1"/>
    <col min="13576" max="13576" width="10" style="108" customWidth="1"/>
    <col min="13577" max="13577" width="22.33203125" style="108" customWidth="1"/>
    <col min="13578" max="13578" width="10.33203125" style="108" customWidth="1"/>
    <col min="13579" max="13579" width="22" style="108" customWidth="1"/>
    <col min="13580" max="13580" width="10.33203125" style="108" customWidth="1"/>
    <col min="13581" max="13581" width="15.83203125" style="108" customWidth="1"/>
    <col min="13582" max="13587" width="9.1640625" style="108" customWidth="1"/>
    <col min="13588" max="13588" width="51.5" style="108" customWidth="1"/>
    <col min="13589" max="13589" width="58.6640625" style="108" customWidth="1"/>
    <col min="13590" max="13590" width="53.6640625" style="108" customWidth="1"/>
    <col min="13591" max="13591" width="58.5" style="108" customWidth="1"/>
    <col min="13592" max="13592" width="95.5" style="108" customWidth="1"/>
    <col min="13593" max="13593" width="50.6640625" style="108" customWidth="1"/>
    <col min="13594" max="13594" width="10.6640625" style="108" customWidth="1"/>
    <col min="13595" max="13595" width="10.5" style="108" customWidth="1"/>
    <col min="13596" max="13825" width="8.6640625" style="108"/>
    <col min="13826" max="13826" width="5" style="108" customWidth="1"/>
    <col min="13827" max="13827" width="46.5" style="108" customWidth="1"/>
    <col min="13828" max="13828" width="13.6640625" style="108" customWidth="1"/>
    <col min="13829" max="13829" width="14.33203125" style="108" customWidth="1"/>
    <col min="13830" max="13830" width="19.83203125" style="108" customWidth="1"/>
    <col min="13831" max="13831" width="10.33203125" style="108" customWidth="1"/>
    <col min="13832" max="13832" width="10" style="108" customWidth="1"/>
    <col min="13833" max="13833" width="22.33203125" style="108" customWidth="1"/>
    <col min="13834" max="13834" width="10.33203125" style="108" customWidth="1"/>
    <col min="13835" max="13835" width="22" style="108" customWidth="1"/>
    <col min="13836" max="13836" width="10.33203125" style="108" customWidth="1"/>
    <col min="13837" max="13837" width="15.83203125" style="108" customWidth="1"/>
    <col min="13838" max="13843" width="9.1640625" style="108" customWidth="1"/>
    <col min="13844" max="13844" width="51.5" style="108" customWidth="1"/>
    <col min="13845" max="13845" width="58.6640625" style="108" customWidth="1"/>
    <col min="13846" max="13846" width="53.6640625" style="108" customWidth="1"/>
    <col min="13847" max="13847" width="58.5" style="108" customWidth="1"/>
    <col min="13848" max="13848" width="95.5" style="108" customWidth="1"/>
    <col min="13849" max="13849" width="50.6640625" style="108" customWidth="1"/>
    <col min="13850" max="13850" width="10.6640625" style="108" customWidth="1"/>
    <col min="13851" max="13851" width="10.5" style="108" customWidth="1"/>
    <col min="13852" max="14081" width="8.6640625" style="108"/>
    <col min="14082" max="14082" width="5" style="108" customWidth="1"/>
    <col min="14083" max="14083" width="46.5" style="108" customWidth="1"/>
    <col min="14084" max="14084" width="13.6640625" style="108" customWidth="1"/>
    <col min="14085" max="14085" width="14.33203125" style="108" customWidth="1"/>
    <col min="14086" max="14086" width="19.83203125" style="108" customWidth="1"/>
    <col min="14087" max="14087" width="10.33203125" style="108" customWidth="1"/>
    <col min="14088" max="14088" width="10" style="108" customWidth="1"/>
    <col min="14089" max="14089" width="22.33203125" style="108" customWidth="1"/>
    <col min="14090" max="14090" width="10.33203125" style="108" customWidth="1"/>
    <col min="14091" max="14091" width="22" style="108" customWidth="1"/>
    <col min="14092" max="14092" width="10.33203125" style="108" customWidth="1"/>
    <col min="14093" max="14093" width="15.83203125" style="108" customWidth="1"/>
    <col min="14094" max="14099" width="9.1640625" style="108" customWidth="1"/>
    <col min="14100" max="14100" width="51.5" style="108" customWidth="1"/>
    <col min="14101" max="14101" width="58.6640625" style="108" customWidth="1"/>
    <col min="14102" max="14102" width="53.6640625" style="108" customWidth="1"/>
    <col min="14103" max="14103" width="58.5" style="108" customWidth="1"/>
    <col min="14104" max="14104" width="95.5" style="108" customWidth="1"/>
    <col min="14105" max="14105" width="50.6640625" style="108" customWidth="1"/>
    <col min="14106" max="14106" width="10.6640625" style="108" customWidth="1"/>
    <col min="14107" max="14107" width="10.5" style="108" customWidth="1"/>
    <col min="14108" max="14337" width="8.6640625" style="108"/>
    <col min="14338" max="14338" width="5" style="108" customWidth="1"/>
    <col min="14339" max="14339" width="46.5" style="108" customWidth="1"/>
    <col min="14340" max="14340" width="13.6640625" style="108" customWidth="1"/>
    <col min="14341" max="14341" width="14.33203125" style="108" customWidth="1"/>
    <col min="14342" max="14342" width="19.83203125" style="108" customWidth="1"/>
    <col min="14343" max="14343" width="10.33203125" style="108" customWidth="1"/>
    <col min="14344" max="14344" width="10" style="108" customWidth="1"/>
    <col min="14345" max="14345" width="22.33203125" style="108" customWidth="1"/>
    <col min="14346" max="14346" width="10.33203125" style="108" customWidth="1"/>
    <col min="14347" max="14347" width="22" style="108" customWidth="1"/>
    <col min="14348" max="14348" width="10.33203125" style="108" customWidth="1"/>
    <col min="14349" max="14349" width="15.83203125" style="108" customWidth="1"/>
    <col min="14350" max="14355" width="9.1640625" style="108" customWidth="1"/>
    <col min="14356" max="14356" width="51.5" style="108" customWidth="1"/>
    <col min="14357" max="14357" width="58.6640625" style="108" customWidth="1"/>
    <col min="14358" max="14358" width="53.6640625" style="108" customWidth="1"/>
    <col min="14359" max="14359" width="58.5" style="108" customWidth="1"/>
    <col min="14360" max="14360" width="95.5" style="108" customWidth="1"/>
    <col min="14361" max="14361" width="50.6640625" style="108" customWidth="1"/>
    <col min="14362" max="14362" width="10.6640625" style="108" customWidth="1"/>
    <col min="14363" max="14363" width="10.5" style="108" customWidth="1"/>
    <col min="14364" max="14593" width="8.6640625" style="108"/>
    <col min="14594" max="14594" width="5" style="108" customWidth="1"/>
    <col min="14595" max="14595" width="46.5" style="108" customWidth="1"/>
    <col min="14596" max="14596" width="13.6640625" style="108" customWidth="1"/>
    <col min="14597" max="14597" width="14.33203125" style="108" customWidth="1"/>
    <col min="14598" max="14598" width="19.83203125" style="108" customWidth="1"/>
    <col min="14599" max="14599" width="10.33203125" style="108" customWidth="1"/>
    <col min="14600" max="14600" width="10" style="108" customWidth="1"/>
    <col min="14601" max="14601" width="22.33203125" style="108" customWidth="1"/>
    <col min="14602" max="14602" width="10.33203125" style="108" customWidth="1"/>
    <col min="14603" max="14603" width="22" style="108" customWidth="1"/>
    <col min="14604" max="14604" width="10.33203125" style="108" customWidth="1"/>
    <col min="14605" max="14605" width="15.83203125" style="108" customWidth="1"/>
    <col min="14606" max="14611" width="9.1640625" style="108" customWidth="1"/>
    <col min="14612" max="14612" width="51.5" style="108" customWidth="1"/>
    <col min="14613" max="14613" width="58.6640625" style="108" customWidth="1"/>
    <col min="14614" max="14614" width="53.6640625" style="108" customWidth="1"/>
    <col min="14615" max="14615" width="58.5" style="108" customWidth="1"/>
    <col min="14616" max="14616" width="95.5" style="108" customWidth="1"/>
    <col min="14617" max="14617" width="50.6640625" style="108" customWidth="1"/>
    <col min="14618" max="14618" width="10.6640625" style="108" customWidth="1"/>
    <col min="14619" max="14619" width="10.5" style="108" customWidth="1"/>
    <col min="14620" max="14849" width="8.6640625" style="108"/>
    <col min="14850" max="14850" width="5" style="108" customWidth="1"/>
    <col min="14851" max="14851" width="46.5" style="108" customWidth="1"/>
    <col min="14852" max="14852" width="13.6640625" style="108" customWidth="1"/>
    <col min="14853" max="14853" width="14.33203125" style="108" customWidth="1"/>
    <col min="14854" max="14854" width="19.83203125" style="108" customWidth="1"/>
    <col min="14855" max="14855" width="10.33203125" style="108" customWidth="1"/>
    <col min="14856" max="14856" width="10" style="108" customWidth="1"/>
    <col min="14857" max="14857" width="22.33203125" style="108" customWidth="1"/>
    <col min="14858" max="14858" width="10.33203125" style="108" customWidth="1"/>
    <col min="14859" max="14859" width="22" style="108" customWidth="1"/>
    <col min="14860" max="14860" width="10.33203125" style="108" customWidth="1"/>
    <col min="14861" max="14861" width="15.83203125" style="108" customWidth="1"/>
    <col min="14862" max="14867" width="9.1640625" style="108" customWidth="1"/>
    <col min="14868" max="14868" width="51.5" style="108" customWidth="1"/>
    <col min="14869" max="14869" width="58.6640625" style="108" customWidth="1"/>
    <col min="14870" max="14870" width="53.6640625" style="108" customWidth="1"/>
    <col min="14871" max="14871" width="58.5" style="108" customWidth="1"/>
    <col min="14872" max="14872" width="95.5" style="108" customWidth="1"/>
    <col min="14873" max="14873" width="50.6640625" style="108" customWidth="1"/>
    <col min="14874" max="14874" width="10.6640625" style="108" customWidth="1"/>
    <col min="14875" max="14875" width="10.5" style="108" customWidth="1"/>
    <col min="14876" max="15105" width="8.6640625" style="108"/>
    <col min="15106" max="15106" width="5" style="108" customWidth="1"/>
    <col min="15107" max="15107" width="46.5" style="108" customWidth="1"/>
    <col min="15108" max="15108" width="13.6640625" style="108" customWidth="1"/>
    <col min="15109" max="15109" width="14.33203125" style="108" customWidth="1"/>
    <col min="15110" max="15110" width="19.83203125" style="108" customWidth="1"/>
    <col min="15111" max="15111" width="10.33203125" style="108" customWidth="1"/>
    <col min="15112" max="15112" width="10" style="108" customWidth="1"/>
    <col min="15113" max="15113" width="22.33203125" style="108" customWidth="1"/>
    <col min="15114" max="15114" width="10.33203125" style="108" customWidth="1"/>
    <col min="15115" max="15115" width="22" style="108" customWidth="1"/>
    <col min="15116" max="15116" width="10.33203125" style="108" customWidth="1"/>
    <col min="15117" max="15117" width="15.83203125" style="108" customWidth="1"/>
    <col min="15118" max="15123" width="9.1640625" style="108" customWidth="1"/>
    <col min="15124" max="15124" width="51.5" style="108" customWidth="1"/>
    <col min="15125" max="15125" width="58.6640625" style="108" customWidth="1"/>
    <col min="15126" max="15126" width="53.6640625" style="108" customWidth="1"/>
    <col min="15127" max="15127" width="58.5" style="108" customWidth="1"/>
    <col min="15128" max="15128" width="95.5" style="108" customWidth="1"/>
    <col min="15129" max="15129" width="50.6640625" style="108" customWidth="1"/>
    <col min="15130" max="15130" width="10.6640625" style="108" customWidth="1"/>
    <col min="15131" max="15131" width="10.5" style="108" customWidth="1"/>
    <col min="15132" max="15361" width="8.6640625" style="108"/>
    <col min="15362" max="15362" width="5" style="108" customWidth="1"/>
    <col min="15363" max="15363" width="46.5" style="108" customWidth="1"/>
    <col min="15364" max="15364" width="13.6640625" style="108" customWidth="1"/>
    <col min="15365" max="15365" width="14.33203125" style="108" customWidth="1"/>
    <col min="15366" max="15366" width="19.83203125" style="108" customWidth="1"/>
    <col min="15367" max="15367" width="10.33203125" style="108" customWidth="1"/>
    <col min="15368" max="15368" width="10" style="108" customWidth="1"/>
    <col min="15369" max="15369" width="22.33203125" style="108" customWidth="1"/>
    <col min="15370" max="15370" width="10.33203125" style="108" customWidth="1"/>
    <col min="15371" max="15371" width="22" style="108" customWidth="1"/>
    <col min="15372" max="15372" width="10.33203125" style="108" customWidth="1"/>
    <col min="15373" max="15373" width="15.83203125" style="108" customWidth="1"/>
    <col min="15374" max="15379" width="9.1640625" style="108" customWidth="1"/>
    <col min="15380" max="15380" width="51.5" style="108" customWidth="1"/>
    <col min="15381" max="15381" width="58.6640625" style="108" customWidth="1"/>
    <col min="15382" max="15382" width="53.6640625" style="108" customWidth="1"/>
    <col min="15383" max="15383" width="58.5" style="108" customWidth="1"/>
    <col min="15384" max="15384" width="95.5" style="108" customWidth="1"/>
    <col min="15385" max="15385" width="50.6640625" style="108" customWidth="1"/>
    <col min="15386" max="15386" width="10.6640625" style="108" customWidth="1"/>
    <col min="15387" max="15387" width="10.5" style="108" customWidth="1"/>
    <col min="15388" max="15617" width="8.6640625" style="108"/>
    <col min="15618" max="15618" width="5" style="108" customWidth="1"/>
    <col min="15619" max="15619" width="46.5" style="108" customWidth="1"/>
    <col min="15620" max="15620" width="13.6640625" style="108" customWidth="1"/>
    <col min="15621" max="15621" width="14.33203125" style="108" customWidth="1"/>
    <col min="15622" max="15622" width="19.83203125" style="108" customWidth="1"/>
    <col min="15623" max="15623" width="10.33203125" style="108" customWidth="1"/>
    <col min="15624" max="15624" width="10" style="108" customWidth="1"/>
    <col min="15625" max="15625" width="22.33203125" style="108" customWidth="1"/>
    <col min="15626" max="15626" width="10.33203125" style="108" customWidth="1"/>
    <col min="15627" max="15627" width="22" style="108" customWidth="1"/>
    <col min="15628" max="15628" width="10.33203125" style="108" customWidth="1"/>
    <col min="15629" max="15629" width="15.83203125" style="108" customWidth="1"/>
    <col min="15630" max="15635" width="9.1640625" style="108" customWidth="1"/>
    <col min="15636" max="15636" width="51.5" style="108" customWidth="1"/>
    <col min="15637" max="15637" width="58.6640625" style="108" customWidth="1"/>
    <col min="15638" max="15638" width="53.6640625" style="108" customWidth="1"/>
    <col min="15639" max="15639" width="58.5" style="108" customWidth="1"/>
    <col min="15640" max="15640" width="95.5" style="108" customWidth="1"/>
    <col min="15641" max="15641" width="50.6640625" style="108" customWidth="1"/>
    <col min="15642" max="15642" width="10.6640625" style="108" customWidth="1"/>
    <col min="15643" max="15643" width="10.5" style="108" customWidth="1"/>
    <col min="15644" max="15873" width="8.6640625" style="108"/>
    <col min="15874" max="15874" width="5" style="108" customWidth="1"/>
    <col min="15875" max="15875" width="46.5" style="108" customWidth="1"/>
    <col min="15876" max="15876" width="13.6640625" style="108" customWidth="1"/>
    <col min="15877" max="15877" width="14.33203125" style="108" customWidth="1"/>
    <col min="15878" max="15878" width="19.83203125" style="108" customWidth="1"/>
    <col min="15879" max="15879" width="10.33203125" style="108" customWidth="1"/>
    <col min="15880" max="15880" width="10" style="108" customWidth="1"/>
    <col min="15881" max="15881" width="22.33203125" style="108" customWidth="1"/>
    <col min="15882" max="15882" width="10.33203125" style="108" customWidth="1"/>
    <col min="15883" max="15883" width="22" style="108" customWidth="1"/>
    <col min="15884" max="15884" width="10.33203125" style="108" customWidth="1"/>
    <col min="15885" max="15885" width="15.83203125" style="108" customWidth="1"/>
    <col min="15886" max="15891" width="9.1640625" style="108" customWidth="1"/>
    <col min="15892" max="15892" width="51.5" style="108" customWidth="1"/>
    <col min="15893" max="15893" width="58.6640625" style="108" customWidth="1"/>
    <col min="15894" max="15894" width="53.6640625" style="108" customWidth="1"/>
    <col min="15895" max="15895" width="58.5" style="108" customWidth="1"/>
    <col min="15896" max="15896" width="95.5" style="108" customWidth="1"/>
    <col min="15897" max="15897" width="50.6640625" style="108" customWidth="1"/>
    <col min="15898" max="15898" width="10.6640625" style="108" customWidth="1"/>
    <col min="15899" max="15899" width="10.5" style="108" customWidth="1"/>
    <col min="15900" max="16129" width="8.6640625" style="108"/>
    <col min="16130" max="16130" width="5" style="108" customWidth="1"/>
    <col min="16131" max="16131" width="46.5" style="108" customWidth="1"/>
    <col min="16132" max="16132" width="13.6640625" style="108" customWidth="1"/>
    <col min="16133" max="16133" width="14.33203125" style="108" customWidth="1"/>
    <col min="16134" max="16134" width="19.83203125" style="108" customWidth="1"/>
    <col min="16135" max="16135" width="10.33203125" style="108" customWidth="1"/>
    <col min="16136" max="16136" width="10" style="108" customWidth="1"/>
    <col min="16137" max="16137" width="22.33203125" style="108" customWidth="1"/>
    <col min="16138" max="16138" width="10.33203125" style="108" customWidth="1"/>
    <col min="16139" max="16139" width="22" style="108" customWidth="1"/>
    <col min="16140" max="16140" width="10.33203125" style="108" customWidth="1"/>
    <col min="16141" max="16141" width="15.83203125" style="108" customWidth="1"/>
    <col min="16142" max="16147" width="9.1640625" style="108" customWidth="1"/>
    <col min="16148" max="16148" width="51.5" style="108" customWidth="1"/>
    <col min="16149" max="16149" width="58.6640625" style="108" customWidth="1"/>
    <col min="16150" max="16150" width="53.6640625" style="108" customWidth="1"/>
    <col min="16151" max="16151" width="58.5" style="108" customWidth="1"/>
    <col min="16152" max="16152" width="95.5" style="108" customWidth="1"/>
    <col min="16153" max="16153" width="50.6640625" style="108" customWidth="1"/>
    <col min="16154" max="16154" width="10.6640625" style="108" customWidth="1"/>
    <col min="16155" max="16155" width="10.5" style="108" customWidth="1"/>
    <col min="16156" max="16384" width="8.6640625" style="108"/>
  </cols>
  <sheetData>
    <row r="1" spans="1:15" ht="17" customHeight="1">
      <c r="A1" s="680" t="s">
        <v>78</v>
      </c>
      <c r="B1" s="681"/>
      <c r="C1" s="687" t="s">
        <v>175</v>
      </c>
      <c r="D1" s="688"/>
      <c r="E1" s="688"/>
      <c r="F1" s="688"/>
      <c r="G1" s="688"/>
      <c r="H1" s="688"/>
      <c r="I1" s="688"/>
      <c r="J1" s="688"/>
      <c r="K1" s="373"/>
      <c r="L1" s="374"/>
    </row>
    <row r="2" spans="1:15" ht="17" customHeight="1">
      <c r="A2" s="682" t="s">
        <v>1</v>
      </c>
      <c r="B2" s="683"/>
      <c r="C2" s="687"/>
      <c r="D2" s="688"/>
      <c r="E2" s="688"/>
      <c r="F2" s="688"/>
      <c r="G2" s="688"/>
      <c r="H2" s="688"/>
      <c r="I2" s="688"/>
      <c r="J2" s="688"/>
      <c r="K2" s="373"/>
      <c r="L2" s="374"/>
    </row>
    <row r="3" spans="1:15" ht="17" customHeight="1">
      <c r="A3" s="682" t="s">
        <v>0</v>
      </c>
      <c r="B3" s="683"/>
      <c r="C3" s="687"/>
      <c r="D3" s="688"/>
      <c r="E3" s="688"/>
      <c r="F3" s="688"/>
      <c r="G3" s="688"/>
      <c r="H3" s="688"/>
      <c r="I3" s="688"/>
      <c r="J3" s="688"/>
      <c r="K3" s="373"/>
      <c r="L3" s="374"/>
    </row>
    <row r="4" spans="1:15" ht="17" customHeight="1">
      <c r="A4" s="682" t="s">
        <v>2</v>
      </c>
      <c r="B4" s="683"/>
      <c r="C4" s="687"/>
      <c r="D4" s="688"/>
      <c r="E4" s="688"/>
      <c r="F4" s="688"/>
      <c r="G4" s="688"/>
      <c r="H4" s="688"/>
      <c r="I4" s="688"/>
      <c r="J4" s="688"/>
      <c r="K4" s="373"/>
      <c r="L4" s="374"/>
    </row>
    <row r="5" spans="1:15" ht="17" customHeight="1">
      <c r="A5" s="682" t="s">
        <v>3</v>
      </c>
      <c r="B5" s="683"/>
      <c r="C5" s="687"/>
      <c r="D5" s="688"/>
      <c r="E5" s="688"/>
      <c r="F5" s="688"/>
      <c r="G5" s="688"/>
      <c r="H5" s="688"/>
      <c r="I5" s="688"/>
      <c r="J5" s="688"/>
      <c r="K5" s="373"/>
      <c r="L5" s="374"/>
    </row>
    <row r="6" spans="1:15" ht="17" customHeight="1">
      <c r="A6" s="684" t="s">
        <v>42</v>
      </c>
      <c r="B6" s="685"/>
      <c r="C6" s="689">
        <v>43617</v>
      </c>
      <c r="D6" s="688"/>
      <c r="E6" s="688"/>
      <c r="F6" s="688"/>
      <c r="G6" s="688"/>
      <c r="H6" s="688"/>
      <c r="I6" s="688"/>
      <c r="J6" s="688"/>
      <c r="K6" s="373"/>
      <c r="L6" s="374"/>
    </row>
    <row r="8" spans="1:15" s="115" customFormat="1" ht="22.5" customHeight="1">
      <c r="A8" s="690" t="s">
        <v>74</v>
      </c>
      <c r="B8" s="690"/>
      <c r="C8" s="690"/>
      <c r="D8" s="690"/>
      <c r="E8" s="690"/>
      <c r="F8" s="690"/>
      <c r="G8" s="690"/>
      <c r="H8" s="690"/>
      <c r="I8" s="690"/>
      <c r="J8" s="690"/>
      <c r="K8" s="377"/>
      <c r="L8" s="378"/>
      <c r="M8" s="379"/>
      <c r="N8" s="380"/>
      <c r="O8" s="379"/>
    </row>
    <row r="9" spans="1:15" s="125" customFormat="1">
      <c r="A9" s="117"/>
      <c r="B9" s="118"/>
      <c r="C9" s="381"/>
      <c r="D9" s="382"/>
      <c r="E9" s="577" t="s">
        <v>225</v>
      </c>
      <c r="F9" s="383"/>
      <c r="G9" s="383"/>
      <c r="H9" s="382"/>
      <c r="I9" s="383"/>
      <c r="J9" s="384"/>
      <c r="K9" s="383"/>
      <c r="L9" s="385"/>
      <c r="M9" s="386"/>
      <c r="N9" s="387"/>
      <c r="O9" s="386"/>
    </row>
    <row r="10" spans="1:15" s="115" customFormat="1">
      <c r="A10" s="126"/>
      <c r="B10" s="126"/>
      <c r="C10" s="388"/>
      <c r="D10" s="389"/>
      <c r="E10" s="389"/>
      <c r="F10" s="390"/>
      <c r="G10" s="390"/>
      <c r="H10" s="389"/>
      <c r="I10" s="390"/>
      <c r="J10" s="391"/>
      <c r="K10" s="390"/>
      <c r="L10" s="385"/>
      <c r="M10" s="379"/>
      <c r="N10" s="380"/>
      <c r="O10" s="379"/>
    </row>
    <row r="11" spans="1:15" s="485" customFormat="1" ht="40" customHeight="1">
      <c r="A11" s="132" t="s">
        <v>47</v>
      </c>
      <c r="B11" s="132" t="s">
        <v>48</v>
      </c>
      <c r="C11" s="133" t="s">
        <v>49</v>
      </c>
      <c r="D11" s="134" t="s">
        <v>84</v>
      </c>
      <c r="E11" s="134" t="s">
        <v>85</v>
      </c>
      <c r="F11" s="135" t="s">
        <v>86</v>
      </c>
      <c r="G11" s="135" t="s">
        <v>87</v>
      </c>
      <c r="H11" s="134" t="s">
        <v>88</v>
      </c>
      <c r="I11" s="135" t="s">
        <v>86</v>
      </c>
      <c r="J11" s="134" t="s">
        <v>89</v>
      </c>
      <c r="K11" s="135" t="s">
        <v>86</v>
      </c>
      <c r="L11" s="370" t="s">
        <v>156</v>
      </c>
      <c r="M11" s="371" t="s">
        <v>174</v>
      </c>
      <c r="N11" s="372" t="s">
        <v>208</v>
      </c>
      <c r="O11" s="371" t="s">
        <v>155</v>
      </c>
    </row>
    <row r="12" spans="1:15" ht="29" customHeight="1">
      <c r="A12" s="137" t="s">
        <v>50</v>
      </c>
      <c r="B12" s="138" t="s">
        <v>90</v>
      </c>
      <c r="C12" s="392"/>
      <c r="D12" s="559">
        <f>'ĐT và PT tài chính (Bản chuẩn)'!C29</f>
        <v>4132473.666666667</v>
      </c>
      <c r="E12" s="393"/>
      <c r="F12" s="394"/>
      <c r="G12" s="394"/>
      <c r="H12" s="393"/>
      <c r="I12" s="394"/>
      <c r="J12" s="393"/>
      <c r="K12" s="394"/>
      <c r="L12" s="395"/>
      <c r="M12" s="395"/>
      <c r="N12" s="395"/>
      <c r="O12" s="395"/>
    </row>
    <row r="13" spans="1:15" ht="16" customHeight="1">
      <c r="A13" s="144"/>
      <c r="B13" s="145"/>
      <c r="C13" s="396"/>
      <c r="D13" s="397"/>
      <c r="E13" s="398"/>
      <c r="F13" s="399"/>
      <c r="G13" s="399"/>
      <c r="H13" s="398"/>
      <c r="I13" s="399"/>
      <c r="J13" s="398"/>
      <c r="K13" s="399"/>
      <c r="L13" s="400"/>
      <c r="M13" s="401"/>
      <c r="N13" s="402"/>
      <c r="O13" s="401"/>
    </row>
    <row r="14" spans="1:15" ht="30" customHeight="1">
      <c r="A14" s="137" t="s">
        <v>52</v>
      </c>
      <c r="B14" s="138" t="s">
        <v>51</v>
      </c>
      <c r="C14" s="392"/>
      <c r="D14" s="403"/>
      <c r="E14" s="393">
        <f>E15+E47</f>
        <v>6875500</v>
      </c>
      <c r="F14" s="394">
        <f t="shared" ref="F14:K14" si="0">SUM(F15)</f>
        <v>0</v>
      </c>
      <c r="G14" s="394">
        <f t="shared" si="0"/>
        <v>0.8934996864237239</v>
      </c>
      <c r="H14" s="393">
        <f t="shared" si="0"/>
        <v>8895800</v>
      </c>
      <c r="I14" s="394">
        <f t="shared" si="0"/>
        <v>0</v>
      </c>
      <c r="J14" s="393">
        <f t="shared" si="0"/>
        <v>16026100</v>
      </c>
      <c r="K14" s="394">
        <f t="shared" si="0"/>
        <v>0</v>
      </c>
      <c r="L14" s="395"/>
      <c r="M14" s="395"/>
      <c r="N14" s="395"/>
      <c r="O14" s="395"/>
    </row>
    <row r="15" spans="1:15" ht="26" customHeight="1">
      <c r="A15" s="152" t="s">
        <v>91</v>
      </c>
      <c r="B15" s="153" t="s">
        <v>92</v>
      </c>
      <c r="C15" s="404"/>
      <c r="D15" s="405"/>
      <c r="E15" s="406">
        <f>E16+E22+E28+E34+E40</f>
        <v>6375500</v>
      </c>
      <c r="F15" s="406"/>
      <c r="G15" s="407">
        <f t="shared" ref="G15:J15" si="1">G16+G22+G28+G34+G40</f>
        <v>0.8934996864237239</v>
      </c>
      <c r="H15" s="406">
        <f t="shared" si="1"/>
        <v>8895800</v>
      </c>
      <c r="I15" s="406"/>
      <c r="J15" s="406">
        <f t="shared" si="1"/>
        <v>16026100</v>
      </c>
      <c r="K15" s="406"/>
      <c r="L15" s="400"/>
      <c r="M15" s="408"/>
      <c r="N15" s="409"/>
      <c r="O15" s="401"/>
    </row>
    <row r="16" spans="1:15" ht="18" customHeight="1">
      <c r="A16" s="159" t="s">
        <v>93</v>
      </c>
      <c r="B16" s="160" t="s">
        <v>214</v>
      </c>
      <c r="C16" s="410"/>
      <c r="D16" s="411"/>
      <c r="E16" s="412">
        <f>SUM(E17:E19)</f>
        <v>410000</v>
      </c>
      <c r="F16" s="413">
        <f>E16/E15</f>
        <v>6.4308681672025719E-2</v>
      </c>
      <c r="G16" s="413">
        <f>E16/E50</f>
        <v>5.7459786908278063E-2</v>
      </c>
      <c r="H16" s="412">
        <f>SUM(H17:H19)</f>
        <v>675000</v>
      </c>
      <c r="I16" s="413">
        <f>H16/H15</f>
        <v>7.5878504462780189E-2</v>
      </c>
      <c r="J16" s="412">
        <f t="shared" ref="J16" si="2">SUM(J17:J19)</f>
        <v>1012500</v>
      </c>
      <c r="K16" s="413">
        <f>J16/J15</f>
        <v>6.3178190576621884E-2</v>
      </c>
      <c r="L16" s="414">
        <f>SUM(L17:L19)</f>
        <v>10000</v>
      </c>
      <c r="M16" s="415">
        <f>SUM(M17:M19)</f>
        <v>16200</v>
      </c>
      <c r="N16" s="416">
        <f>SUM(N17:N19)</f>
        <v>24300</v>
      </c>
      <c r="O16" s="417"/>
    </row>
    <row r="17" spans="1:15" ht="18" customHeight="1">
      <c r="A17" s="159"/>
      <c r="B17" s="167" t="s">
        <v>209</v>
      </c>
      <c r="C17" s="418"/>
      <c r="D17" s="419"/>
      <c r="E17" s="420">
        <f>'Ke hoach doanh thu'!J12</f>
        <v>120000</v>
      </c>
      <c r="F17" s="421"/>
      <c r="G17" s="421"/>
      <c r="H17" s="422">
        <f>'Ke hoach doanh thu'!K12</f>
        <v>216000</v>
      </c>
      <c r="I17" s="421"/>
      <c r="J17" s="422">
        <f>N17*O17</f>
        <v>324000</v>
      </c>
      <c r="K17" s="421"/>
      <c r="L17" s="423">
        <f>'Ke hoach doanh thu'!G12</f>
        <v>3000</v>
      </c>
      <c r="M17" s="401">
        <f>'Ke hoach doanh thu'!H12</f>
        <v>5400</v>
      </c>
      <c r="N17" s="526">
        <f>M17*150%</f>
        <v>8100</v>
      </c>
      <c r="O17" s="424">
        <f>'Ke hoach doanh thu'!I12</f>
        <v>40</v>
      </c>
    </row>
    <row r="18" spans="1:15" ht="18" customHeight="1">
      <c r="A18" s="159"/>
      <c r="B18" s="167" t="s">
        <v>210</v>
      </c>
      <c r="C18" s="418"/>
      <c r="D18" s="419"/>
      <c r="E18" s="420">
        <f>'Ke hoach doanh thu'!J13</f>
        <v>200000</v>
      </c>
      <c r="F18" s="421"/>
      <c r="G18" s="421"/>
      <c r="H18" s="422">
        <f>'Ke hoach doanh thu'!K13</f>
        <v>216000</v>
      </c>
      <c r="I18" s="421"/>
      <c r="J18" s="422">
        <f t="shared" ref="J18:J21" si="3">N18*O18</f>
        <v>324000</v>
      </c>
      <c r="K18" s="421"/>
      <c r="L18" s="423">
        <f>'Ke hoach doanh thu'!G13</f>
        <v>5000</v>
      </c>
      <c r="M18" s="401">
        <f>'Ke hoach doanh thu'!H13</f>
        <v>5400</v>
      </c>
      <c r="N18" s="526">
        <f t="shared" ref="N18:N21" si="4">M18*150%</f>
        <v>8100</v>
      </c>
      <c r="O18" s="424">
        <f>'Ke hoach doanh thu'!I13</f>
        <v>40</v>
      </c>
    </row>
    <row r="19" spans="1:15" ht="18" customHeight="1">
      <c r="A19" s="159"/>
      <c r="B19" s="167" t="s">
        <v>211</v>
      </c>
      <c r="C19" s="418"/>
      <c r="D19" s="419"/>
      <c r="E19" s="420">
        <f>'Ke hoach doanh thu'!J14</f>
        <v>90000</v>
      </c>
      <c r="F19" s="421"/>
      <c r="G19" s="421"/>
      <c r="H19" s="422">
        <f>'Ke hoach doanh thu'!K14</f>
        <v>243000</v>
      </c>
      <c r="I19" s="421"/>
      <c r="J19" s="422">
        <f t="shared" si="3"/>
        <v>364500</v>
      </c>
      <c r="K19" s="421"/>
      <c r="L19" s="423">
        <f>'Ke hoach doanh thu'!G14</f>
        <v>2000</v>
      </c>
      <c r="M19" s="401">
        <f>'Ke hoach doanh thu'!H14</f>
        <v>5400</v>
      </c>
      <c r="N19" s="526">
        <f t="shared" si="4"/>
        <v>8100</v>
      </c>
      <c r="O19" s="424">
        <f>'Ke hoach doanh thu'!I14</f>
        <v>45</v>
      </c>
    </row>
    <row r="20" spans="1:15" ht="18" customHeight="1">
      <c r="A20" s="159"/>
      <c r="B20" s="167" t="s">
        <v>212</v>
      </c>
      <c r="C20" s="418"/>
      <c r="D20" s="419"/>
      <c r="E20" s="420">
        <f>'Ke hoach doanh thu'!J15</f>
        <v>35000</v>
      </c>
      <c r="F20" s="421"/>
      <c r="G20" s="421"/>
      <c r="H20" s="422">
        <f>'Ke hoach doanh thu'!K15</f>
        <v>189000</v>
      </c>
      <c r="I20" s="421"/>
      <c r="J20" s="422">
        <f t="shared" si="3"/>
        <v>283500</v>
      </c>
      <c r="K20" s="421"/>
      <c r="L20" s="423">
        <f>'Ke hoach doanh thu'!G15</f>
        <v>1000</v>
      </c>
      <c r="M20" s="401">
        <f>'Ke hoach doanh thu'!H15</f>
        <v>5400</v>
      </c>
      <c r="N20" s="526">
        <f t="shared" si="4"/>
        <v>8100</v>
      </c>
      <c r="O20" s="424">
        <f>'Ke hoach doanh thu'!I15</f>
        <v>35</v>
      </c>
    </row>
    <row r="21" spans="1:15" ht="18" customHeight="1">
      <c r="A21" s="159"/>
      <c r="B21" s="167" t="s">
        <v>213</v>
      </c>
      <c r="C21" s="418"/>
      <c r="D21" s="419"/>
      <c r="E21" s="420">
        <f>'Ke hoach doanh thu'!J16</f>
        <v>120000</v>
      </c>
      <c r="F21" s="421"/>
      <c r="G21" s="421"/>
      <c r="H21" s="422">
        <f>'Ke hoach doanh thu'!K16</f>
        <v>216000</v>
      </c>
      <c r="I21" s="421"/>
      <c r="J21" s="422">
        <f t="shared" si="3"/>
        <v>324000</v>
      </c>
      <c r="K21" s="421"/>
      <c r="L21" s="423">
        <f>'Ke hoach doanh thu'!G16</f>
        <v>3000</v>
      </c>
      <c r="M21" s="401">
        <f>'Ke hoach doanh thu'!H16</f>
        <v>5400</v>
      </c>
      <c r="N21" s="526">
        <f t="shared" si="4"/>
        <v>8100</v>
      </c>
      <c r="O21" s="424">
        <f>'Ke hoach doanh thu'!I16</f>
        <v>40</v>
      </c>
    </row>
    <row r="22" spans="1:15" ht="18" customHeight="1">
      <c r="A22" s="159">
        <v>1.2</v>
      </c>
      <c r="B22" s="160" t="s">
        <v>215</v>
      </c>
      <c r="C22" s="410"/>
      <c r="D22" s="411"/>
      <c r="E22" s="412">
        <f>SUM(E23:E27)</f>
        <v>1793000</v>
      </c>
      <c r="F22" s="413">
        <f>E22/E15</f>
        <v>0.28123284448278568</v>
      </c>
      <c r="G22" s="413">
        <f>E22/E50</f>
        <v>0.25128145835742088</v>
      </c>
      <c r="H22" s="412">
        <f>SUM(H23:H27)</f>
        <v>1825600</v>
      </c>
      <c r="I22" s="413">
        <f>H22/H15</f>
        <v>0.20522044110703927</v>
      </c>
      <c r="J22" s="412">
        <f t="shared" ref="J22:N22" si="5">SUM(J23:J27)</f>
        <v>2738400</v>
      </c>
      <c r="K22" s="413">
        <f>J22/J15</f>
        <v>0.17087126624693469</v>
      </c>
      <c r="L22" s="412">
        <f t="shared" si="5"/>
        <v>27500</v>
      </c>
      <c r="M22" s="412">
        <f t="shared" si="5"/>
        <v>28000</v>
      </c>
      <c r="N22" s="412">
        <f t="shared" si="5"/>
        <v>42000</v>
      </c>
      <c r="O22" s="424">
        <f>'Ke hoach doanh thu'!I17</f>
        <v>0</v>
      </c>
    </row>
    <row r="23" spans="1:15" ht="18" customHeight="1">
      <c r="A23" s="159"/>
      <c r="B23" s="167" t="s">
        <v>209</v>
      </c>
      <c r="C23" s="418"/>
      <c r="D23" s="419"/>
      <c r="E23" s="420">
        <f>'Ke hoach doanh thu'!J18</f>
        <v>325000</v>
      </c>
      <c r="F23" s="421"/>
      <c r="G23" s="421"/>
      <c r="H23" s="422">
        <f>'Ke hoach doanh thu'!K18</f>
        <v>364000</v>
      </c>
      <c r="I23" s="421"/>
      <c r="J23" s="422">
        <f>N23*O23</f>
        <v>546000</v>
      </c>
      <c r="K23" s="421"/>
      <c r="L23" s="423">
        <f>'Ke hoach doanh thu'!G18</f>
        <v>5000</v>
      </c>
      <c r="M23" s="401">
        <f>'Ke hoach doanh thu'!H18</f>
        <v>5600</v>
      </c>
      <c r="N23" s="526">
        <f>M23*150%</f>
        <v>8400</v>
      </c>
      <c r="O23" s="424">
        <f>'Ke hoach doanh thu'!I18</f>
        <v>65</v>
      </c>
    </row>
    <row r="24" spans="1:15" ht="18" customHeight="1">
      <c r="A24" s="159"/>
      <c r="B24" s="167" t="s">
        <v>210</v>
      </c>
      <c r="C24" s="418"/>
      <c r="D24" s="419"/>
      <c r="E24" s="420">
        <f>'Ke hoach doanh thu'!J19</f>
        <v>650000</v>
      </c>
      <c r="F24" s="421"/>
      <c r="G24" s="421"/>
      <c r="H24" s="422">
        <f>'Ke hoach doanh thu'!K19</f>
        <v>364000</v>
      </c>
      <c r="I24" s="421"/>
      <c r="J24" s="422">
        <f>N24*O24</f>
        <v>546000</v>
      </c>
      <c r="K24" s="421"/>
      <c r="L24" s="423">
        <f>'Ke hoach doanh thu'!G19</f>
        <v>10000</v>
      </c>
      <c r="M24" s="401">
        <f>'Ke hoach doanh thu'!H19</f>
        <v>5600</v>
      </c>
      <c r="N24" s="526">
        <f t="shared" ref="N24:N27" si="6">M24*150%</f>
        <v>8400</v>
      </c>
      <c r="O24" s="424">
        <f>'Ke hoach doanh thu'!I19</f>
        <v>65</v>
      </c>
    </row>
    <row r="25" spans="1:15" ht="18" customHeight="1">
      <c r="A25" s="159"/>
      <c r="B25" s="167" t="s">
        <v>211</v>
      </c>
      <c r="C25" s="418"/>
      <c r="D25" s="419"/>
      <c r="E25" s="420">
        <f>'Ke hoach doanh thu'!J20</f>
        <v>270000</v>
      </c>
      <c r="F25" s="421"/>
      <c r="G25" s="421"/>
      <c r="H25" s="422">
        <f>'Ke hoach doanh thu'!K20</f>
        <v>336000</v>
      </c>
      <c r="I25" s="421"/>
      <c r="J25" s="422">
        <f>N25*O25</f>
        <v>504000</v>
      </c>
      <c r="K25" s="421"/>
      <c r="L25" s="423">
        <f>'Ke hoach doanh thu'!G20</f>
        <v>4500</v>
      </c>
      <c r="M25" s="401">
        <f>'Ke hoach doanh thu'!H20</f>
        <v>5600</v>
      </c>
      <c r="N25" s="526">
        <f t="shared" si="6"/>
        <v>8400</v>
      </c>
      <c r="O25" s="424">
        <f>'Ke hoach doanh thu'!I20</f>
        <v>60</v>
      </c>
    </row>
    <row r="26" spans="1:15" ht="18" customHeight="1">
      <c r="A26" s="159"/>
      <c r="B26" s="167" t="s">
        <v>212</v>
      </c>
      <c r="C26" s="418"/>
      <c r="D26" s="419"/>
      <c r="E26" s="420">
        <f>'Ke hoach doanh thu'!J21</f>
        <v>350000</v>
      </c>
      <c r="F26" s="421"/>
      <c r="G26" s="421"/>
      <c r="H26" s="422">
        <f>'Ke hoach doanh thu'!K21</f>
        <v>392000</v>
      </c>
      <c r="I26" s="421"/>
      <c r="J26" s="422">
        <f t="shared" ref="J26:J27" si="7">N26*O26</f>
        <v>588000</v>
      </c>
      <c r="K26" s="421"/>
      <c r="L26" s="423">
        <f>'Ke hoach doanh thu'!G21</f>
        <v>5000</v>
      </c>
      <c r="M26" s="401">
        <f>'Ke hoach doanh thu'!H21</f>
        <v>5600</v>
      </c>
      <c r="N26" s="526">
        <f t="shared" si="6"/>
        <v>8400</v>
      </c>
      <c r="O26" s="424">
        <f>'Ke hoach doanh thu'!I21</f>
        <v>70</v>
      </c>
    </row>
    <row r="27" spans="1:15" ht="18" customHeight="1">
      <c r="A27" s="159"/>
      <c r="B27" s="167" t="s">
        <v>213</v>
      </c>
      <c r="C27" s="418"/>
      <c r="D27" s="419"/>
      <c r="E27" s="420">
        <f>'Ke hoach doanh thu'!J22</f>
        <v>198000</v>
      </c>
      <c r="F27" s="421"/>
      <c r="G27" s="421"/>
      <c r="H27" s="422">
        <f>'Ke hoach doanh thu'!K22</f>
        <v>369600</v>
      </c>
      <c r="I27" s="421"/>
      <c r="J27" s="422">
        <f t="shared" si="7"/>
        <v>554400</v>
      </c>
      <c r="K27" s="421"/>
      <c r="L27" s="423">
        <f>'Ke hoach doanh thu'!G22</f>
        <v>3000</v>
      </c>
      <c r="M27" s="401">
        <f>'Ke hoach doanh thu'!H22</f>
        <v>5600</v>
      </c>
      <c r="N27" s="526">
        <f t="shared" si="6"/>
        <v>8400</v>
      </c>
      <c r="O27" s="424">
        <f>'Ke hoach doanh thu'!I22</f>
        <v>66</v>
      </c>
    </row>
    <row r="28" spans="1:15" ht="18" customHeight="1">
      <c r="A28" s="159">
        <v>1.2</v>
      </c>
      <c r="B28" s="160" t="s">
        <v>216</v>
      </c>
      <c r="C28" s="410"/>
      <c r="D28" s="411"/>
      <c r="E28" s="412">
        <f>SUM(E29:E33)</f>
        <v>1587500</v>
      </c>
      <c r="F28" s="413">
        <f>E28/E15</f>
        <v>0.24900007842522154</v>
      </c>
      <c r="G28" s="413">
        <f>E28/E50</f>
        <v>0.22248149199241812</v>
      </c>
      <c r="H28" s="412">
        <f t="shared" ref="H28:N28" si="8">SUM(H29:H33)</f>
        <v>2576000</v>
      </c>
      <c r="I28" s="413">
        <f>H28/H15</f>
        <v>0.28957485554981</v>
      </c>
      <c r="J28" s="412">
        <f t="shared" si="8"/>
        <v>4636800</v>
      </c>
      <c r="K28" s="413">
        <f>J28/J15</f>
        <v>0.28932803364511639</v>
      </c>
      <c r="L28" s="412">
        <f t="shared" si="8"/>
        <v>17000</v>
      </c>
      <c r="M28" s="412">
        <f t="shared" si="8"/>
        <v>28000</v>
      </c>
      <c r="N28" s="412">
        <f t="shared" si="8"/>
        <v>50400</v>
      </c>
      <c r="O28" s="424">
        <f>'Ke hoach doanh thu'!I23</f>
        <v>0</v>
      </c>
    </row>
    <row r="29" spans="1:15" ht="18" customHeight="1">
      <c r="A29" s="159"/>
      <c r="B29" s="167" t="s">
        <v>209</v>
      </c>
      <c r="C29" s="418"/>
      <c r="D29" s="419"/>
      <c r="E29" s="420">
        <f>'Ke hoach doanh thu'!J24</f>
        <v>240000</v>
      </c>
      <c r="F29" s="421"/>
      <c r="G29" s="421"/>
      <c r="H29" s="422">
        <f>'Ke hoach doanh thu'!K24</f>
        <v>448000</v>
      </c>
      <c r="I29" s="421"/>
      <c r="J29" s="422">
        <f>N29*O29</f>
        <v>806400</v>
      </c>
      <c r="K29" s="421"/>
      <c r="L29" s="423">
        <f>'Ke hoach doanh thu'!G24</f>
        <v>3000</v>
      </c>
      <c r="M29" s="401">
        <f>'Ke hoach doanh thu'!H24</f>
        <v>5600</v>
      </c>
      <c r="N29" s="526">
        <f>M29*180%</f>
        <v>10080</v>
      </c>
      <c r="O29" s="424">
        <f>'Ke hoach doanh thu'!I24</f>
        <v>80</v>
      </c>
    </row>
    <row r="30" spans="1:15" ht="18" customHeight="1">
      <c r="A30" s="159"/>
      <c r="B30" s="167" t="s">
        <v>210</v>
      </c>
      <c r="C30" s="418"/>
      <c r="D30" s="419"/>
      <c r="E30" s="420">
        <f>'Ke hoach doanh thu'!J25</f>
        <v>650000</v>
      </c>
      <c r="F30" s="421"/>
      <c r="G30" s="421"/>
      <c r="H30" s="422">
        <f>'Ke hoach doanh thu'!K25</f>
        <v>560000</v>
      </c>
      <c r="I30" s="421"/>
      <c r="J30" s="422">
        <f>N30*O30</f>
        <v>1008000</v>
      </c>
      <c r="K30" s="421"/>
      <c r="L30" s="423">
        <f>'Ke hoach doanh thu'!G25</f>
        <v>6500</v>
      </c>
      <c r="M30" s="401">
        <f>'Ke hoach doanh thu'!H25</f>
        <v>5600</v>
      </c>
      <c r="N30" s="526">
        <f t="shared" ref="N30:N33" si="9">M30*180%</f>
        <v>10080</v>
      </c>
      <c r="O30" s="424">
        <f>'Ke hoach doanh thu'!I25</f>
        <v>100</v>
      </c>
    </row>
    <row r="31" spans="1:15" ht="18" customHeight="1">
      <c r="A31" s="159"/>
      <c r="B31" s="167" t="s">
        <v>211</v>
      </c>
      <c r="C31" s="418"/>
      <c r="D31" s="419"/>
      <c r="E31" s="420">
        <f>'Ke hoach doanh thu'!J26</f>
        <v>270000</v>
      </c>
      <c r="F31" s="421"/>
      <c r="G31" s="421"/>
      <c r="H31" s="422">
        <f>'Ke hoach doanh thu'!K26</f>
        <v>504000</v>
      </c>
      <c r="I31" s="421"/>
      <c r="J31" s="422">
        <f>N31*O31</f>
        <v>907200</v>
      </c>
      <c r="K31" s="421"/>
      <c r="L31" s="423">
        <f>'Ke hoach doanh thu'!G26</f>
        <v>3000</v>
      </c>
      <c r="M31" s="401">
        <f>'Ke hoach doanh thu'!H26</f>
        <v>5600</v>
      </c>
      <c r="N31" s="526">
        <f t="shared" si="9"/>
        <v>10080</v>
      </c>
      <c r="O31" s="424">
        <f>'Ke hoach doanh thu'!I26</f>
        <v>90</v>
      </c>
    </row>
    <row r="32" spans="1:15" ht="18" customHeight="1">
      <c r="A32" s="159"/>
      <c r="B32" s="167" t="s">
        <v>212</v>
      </c>
      <c r="C32" s="418"/>
      <c r="D32" s="419"/>
      <c r="E32" s="420">
        <f>'Ke hoach doanh thu'!J27</f>
        <v>95000</v>
      </c>
      <c r="F32" s="421"/>
      <c r="G32" s="421"/>
      <c r="H32" s="422">
        <f>'Ke hoach doanh thu'!K27</f>
        <v>532000</v>
      </c>
      <c r="I32" s="421"/>
      <c r="J32" s="422">
        <f t="shared" ref="J32:J33" si="10">N32*O32</f>
        <v>957600</v>
      </c>
      <c r="K32" s="421"/>
      <c r="L32" s="423">
        <f>'Ke hoach doanh thu'!G27</f>
        <v>1000</v>
      </c>
      <c r="M32" s="401">
        <f>'Ke hoach doanh thu'!H27</f>
        <v>5600</v>
      </c>
      <c r="N32" s="526">
        <f t="shared" si="9"/>
        <v>10080</v>
      </c>
      <c r="O32" s="424">
        <f>'Ke hoach doanh thu'!I27</f>
        <v>95</v>
      </c>
    </row>
    <row r="33" spans="1:15" ht="18" customHeight="1">
      <c r="A33" s="159"/>
      <c r="B33" s="167" t="s">
        <v>213</v>
      </c>
      <c r="C33" s="418"/>
      <c r="D33" s="419"/>
      <c r="E33" s="420">
        <f>'Ke hoach doanh thu'!J28</f>
        <v>332500</v>
      </c>
      <c r="F33" s="421"/>
      <c r="G33" s="421"/>
      <c r="H33" s="422">
        <f>'Ke hoach doanh thu'!K28</f>
        <v>532000</v>
      </c>
      <c r="I33" s="421"/>
      <c r="J33" s="422">
        <f t="shared" si="10"/>
        <v>957600</v>
      </c>
      <c r="K33" s="421"/>
      <c r="L33" s="423">
        <f>'Ke hoach doanh thu'!G28</f>
        <v>3500</v>
      </c>
      <c r="M33" s="401">
        <f>'Ke hoach doanh thu'!H28</f>
        <v>5600</v>
      </c>
      <c r="N33" s="526">
        <f t="shared" si="9"/>
        <v>10080</v>
      </c>
      <c r="O33" s="424">
        <f>'Ke hoach doanh thu'!I28</f>
        <v>95</v>
      </c>
    </row>
    <row r="34" spans="1:15" ht="18" customHeight="1">
      <c r="A34" s="159">
        <v>1.2</v>
      </c>
      <c r="B34" s="160" t="s">
        <v>217</v>
      </c>
      <c r="C34" s="410"/>
      <c r="D34" s="411"/>
      <c r="E34" s="412">
        <f>SUM(E35:E39)</f>
        <v>1451000</v>
      </c>
      <c r="F34" s="413">
        <f>E34/E15</f>
        <v>0.22758999294173007</v>
      </c>
      <c r="G34" s="413">
        <f>E34/E50</f>
        <v>0.20335158732661335</v>
      </c>
      <c r="H34" s="412">
        <f t="shared" ref="H34:N34" si="11">SUM(H35:H39)</f>
        <v>2335200</v>
      </c>
      <c r="I34" s="413">
        <f>H34/H15</f>
        <v>0.26250590166145821</v>
      </c>
      <c r="J34" s="412">
        <f t="shared" si="11"/>
        <v>4670400</v>
      </c>
      <c r="K34" s="413">
        <f>J34/J15</f>
        <v>0.29142461359906652</v>
      </c>
      <c r="L34" s="412">
        <f t="shared" si="11"/>
        <v>17000</v>
      </c>
      <c r="M34" s="412">
        <f t="shared" si="11"/>
        <v>28000</v>
      </c>
      <c r="N34" s="412">
        <f t="shared" si="11"/>
        <v>56000</v>
      </c>
      <c r="O34" s="424">
        <f>'Ke hoach doanh thu'!I29</f>
        <v>0</v>
      </c>
    </row>
    <row r="35" spans="1:15" ht="18" customHeight="1">
      <c r="A35" s="159"/>
      <c r="B35" s="167" t="s">
        <v>209</v>
      </c>
      <c r="C35" s="418"/>
      <c r="D35" s="419"/>
      <c r="E35" s="420">
        <f>'Ke hoach doanh thu'!J30</f>
        <v>231000</v>
      </c>
      <c r="F35" s="421"/>
      <c r="G35" s="421"/>
      <c r="H35" s="422">
        <f>'Ke hoach doanh thu'!K30</f>
        <v>431200</v>
      </c>
      <c r="I35" s="421"/>
      <c r="J35" s="422">
        <f>N35*O35</f>
        <v>862400</v>
      </c>
      <c r="K35" s="421"/>
      <c r="L35" s="423">
        <f>'Ke hoach doanh thu'!G30</f>
        <v>3000</v>
      </c>
      <c r="M35" s="401">
        <f>'Ke hoach doanh thu'!H30</f>
        <v>5600</v>
      </c>
      <c r="N35" s="526">
        <f>M35*200%</f>
        <v>11200</v>
      </c>
      <c r="O35" s="424">
        <f>'Ke hoach doanh thu'!I30</f>
        <v>77</v>
      </c>
    </row>
    <row r="36" spans="1:15" ht="18" customHeight="1">
      <c r="A36" s="159"/>
      <c r="B36" s="167" t="s">
        <v>210</v>
      </c>
      <c r="C36" s="418"/>
      <c r="D36" s="419"/>
      <c r="E36" s="420">
        <f>'Ke hoach doanh thu'!J31</f>
        <v>585000</v>
      </c>
      <c r="F36" s="421"/>
      <c r="G36" s="421"/>
      <c r="H36" s="422">
        <f>'Ke hoach doanh thu'!K31</f>
        <v>504000</v>
      </c>
      <c r="I36" s="421"/>
      <c r="J36" s="422">
        <f>N36*O36</f>
        <v>1008000</v>
      </c>
      <c r="K36" s="421"/>
      <c r="L36" s="423">
        <f>'Ke hoach doanh thu'!G31</f>
        <v>6500</v>
      </c>
      <c r="M36" s="401">
        <f>'Ke hoach doanh thu'!H31</f>
        <v>5600</v>
      </c>
      <c r="N36" s="526">
        <f t="shared" ref="N36:N39" si="12">M36*200%</f>
        <v>11200</v>
      </c>
      <c r="O36" s="424">
        <f>'Ke hoach doanh thu'!I31</f>
        <v>90</v>
      </c>
    </row>
    <row r="37" spans="1:15" ht="18" customHeight="1">
      <c r="A37" s="159"/>
      <c r="B37" s="167" t="s">
        <v>211</v>
      </c>
      <c r="C37" s="418"/>
      <c r="D37" s="419"/>
      <c r="E37" s="420">
        <f>'Ke hoach doanh thu'!J32</f>
        <v>240000</v>
      </c>
      <c r="F37" s="421"/>
      <c r="G37" s="421"/>
      <c r="H37" s="422">
        <f>'Ke hoach doanh thu'!K32</f>
        <v>448000</v>
      </c>
      <c r="I37" s="421"/>
      <c r="J37" s="422">
        <f t="shared" ref="J37:J39" si="13">N37*O37</f>
        <v>896000</v>
      </c>
      <c r="K37" s="421"/>
      <c r="L37" s="423">
        <f>'Ke hoach doanh thu'!G32</f>
        <v>3000</v>
      </c>
      <c r="M37" s="401">
        <f>'Ke hoach doanh thu'!H32</f>
        <v>5600</v>
      </c>
      <c r="N37" s="526">
        <f t="shared" si="12"/>
        <v>11200</v>
      </c>
      <c r="O37" s="424">
        <f>'Ke hoach doanh thu'!I32</f>
        <v>80</v>
      </c>
    </row>
    <row r="38" spans="1:15" ht="18" customHeight="1">
      <c r="A38" s="159"/>
      <c r="B38" s="167" t="s">
        <v>212</v>
      </c>
      <c r="C38" s="418"/>
      <c r="D38" s="419"/>
      <c r="E38" s="420">
        <f>'Ke hoach doanh thu'!J33</f>
        <v>80000</v>
      </c>
      <c r="F38" s="421"/>
      <c r="G38" s="421"/>
      <c r="H38" s="422">
        <f>'Ke hoach doanh thu'!K33</f>
        <v>448000</v>
      </c>
      <c r="I38" s="421"/>
      <c r="J38" s="422">
        <f t="shared" si="13"/>
        <v>896000</v>
      </c>
      <c r="K38" s="421"/>
      <c r="L38" s="423">
        <f>'Ke hoach doanh thu'!G33</f>
        <v>1000</v>
      </c>
      <c r="M38" s="401">
        <f>'Ke hoach doanh thu'!H33</f>
        <v>5600</v>
      </c>
      <c r="N38" s="526">
        <f t="shared" si="12"/>
        <v>11200</v>
      </c>
      <c r="O38" s="424">
        <f>'Ke hoach doanh thu'!I33</f>
        <v>80</v>
      </c>
    </row>
    <row r="39" spans="1:15" ht="18" customHeight="1">
      <c r="A39" s="159"/>
      <c r="B39" s="167" t="s">
        <v>213</v>
      </c>
      <c r="C39" s="418"/>
      <c r="D39" s="419"/>
      <c r="E39" s="420">
        <f>'Ke hoach doanh thu'!J34</f>
        <v>315000</v>
      </c>
      <c r="F39" s="421"/>
      <c r="G39" s="421"/>
      <c r="H39" s="422">
        <f>'Ke hoach doanh thu'!K34</f>
        <v>504000</v>
      </c>
      <c r="I39" s="421"/>
      <c r="J39" s="422">
        <f t="shared" si="13"/>
        <v>1008000</v>
      </c>
      <c r="K39" s="421"/>
      <c r="L39" s="423">
        <f>'Ke hoach doanh thu'!G34</f>
        <v>3500</v>
      </c>
      <c r="M39" s="401">
        <f>'Ke hoach doanh thu'!H34</f>
        <v>5600</v>
      </c>
      <c r="N39" s="526">
        <f t="shared" si="12"/>
        <v>11200</v>
      </c>
      <c r="O39" s="424">
        <f>'Ke hoach doanh thu'!I34</f>
        <v>90</v>
      </c>
    </row>
    <row r="40" spans="1:15" ht="18" customHeight="1">
      <c r="A40" s="159">
        <v>1.2</v>
      </c>
      <c r="B40" s="160" t="s">
        <v>218</v>
      </c>
      <c r="C40" s="410"/>
      <c r="D40" s="411"/>
      <c r="E40" s="412">
        <f>SUM(E41:E45)</f>
        <v>1134000</v>
      </c>
      <c r="F40" s="413">
        <f>E40/E15</f>
        <v>0.17786840247823701</v>
      </c>
      <c r="G40" s="413">
        <f>E40/E50</f>
        <v>0.15892536183899347</v>
      </c>
      <c r="H40" s="412">
        <f t="shared" ref="H40:N40" si="14">SUM(H41:H45)</f>
        <v>1484000</v>
      </c>
      <c r="I40" s="413">
        <f>H40/H15</f>
        <v>0.16682029721891228</v>
      </c>
      <c r="J40" s="412">
        <f t="shared" si="14"/>
        <v>2968000</v>
      </c>
      <c r="K40" s="413">
        <f>J40/J15</f>
        <v>0.18519789593226049</v>
      </c>
      <c r="L40" s="412">
        <f t="shared" si="14"/>
        <v>21300</v>
      </c>
      <c r="M40" s="412">
        <f t="shared" si="14"/>
        <v>28000</v>
      </c>
      <c r="N40" s="412">
        <f t="shared" si="14"/>
        <v>56000</v>
      </c>
      <c r="O40" s="424">
        <f>'Ke hoach doanh thu'!I35</f>
        <v>0</v>
      </c>
    </row>
    <row r="41" spans="1:15" ht="18" customHeight="1">
      <c r="A41" s="159"/>
      <c r="B41" s="167" t="s">
        <v>209</v>
      </c>
      <c r="C41" s="418"/>
      <c r="D41" s="419"/>
      <c r="E41" s="420">
        <f>'Ke hoach doanh thu'!J36</f>
        <v>150000</v>
      </c>
      <c r="F41" s="421"/>
      <c r="G41" s="421"/>
      <c r="H41" s="422">
        <f>'Ke hoach doanh thu'!K36</f>
        <v>280000</v>
      </c>
      <c r="I41" s="421"/>
      <c r="J41" s="422">
        <f>N41*O41</f>
        <v>560000</v>
      </c>
      <c r="K41" s="421"/>
      <c r="L41" s="423">
        <f>'Ke hoach doanh thu'!G36</f>
        <v>3000</v>
      </c>
      <c r="M41" s="401">
        <f>'Ke hoach doanh thu'!H36</f>
        <v>5600</v>
      </c>
      <c r="N41" s="526">
        <f>M41*200%</f>
        <v>11200</v>
      </c>
      <c r="O41" s="424">
        <f>'Ke hoach doanh thu'!I36</f>
        <v>50</v>
      </c>
    </row>
    <row r="42" spans="1:15" ht="18" customHeight="1">
      <c r="A42" s="159"/>
      <c r="B42" s="167" t="s">
        <v>210</v>
      </c>
      <c r="C42" s="418"/>
      <c r="D42" s="419"/>
      <c r="E42" s="420">
        <f>'Ke hoach doanh thu'!J37</f>
        <v>357500</v>
      </c>
      <c r="F42" s="421"/>
      <c r="G42" s="421"/>
      <c r="H42" s="422">
        <f>'Ke hoach doanh thu'!K37</f>
        <v>308000</v>
      </c>
      <c r="I42" s="421"/>
      <c r="J42" s="422">
        <f>N42*O42</f>
        <v>616000</v>
      </c>
      <c r="K42" s="421"/>
      <c r="L42" s="423">
        <f>'Ke hoach doanh thu'!G37</f>
        <v>6500</v>
      </c>
      <c r="M42" s="401">
        <f>'Ke hoach doanh thu'!H37</f>
        <v>5600</v>
      </c>
      <c r="N42" s="526">
        <f t="shared" ref="N42:N45" si="15">M42*200%</f>
        <v>11200</v>
      </c>
      <c r="O42" s="424">
        <f>'Ke hoach doanh thu'!I37</f>
        <v>55</v>
      </c>
    </row>
    <row r="43" spans="1:15" ht="18" customHeight="1">
      <c r="A43" s="159"/>
      <c r="B43" s="167" t="s">
        <v>211</v>
      </c>
      <c r="C43" s="418"/>
      <c r="D43" s="419"/>
      <c r="E43" s="420">
        <f>'Ke hoach doanh thu'!J38</f>
        <v>225000</v>
      </c>
      <c r="F43" s="421"/>
      <c r="G43" s="421"/>
      <c r="H43" s="422">
        <f>'Ke hoach doanh thu'!K38</f>
        <v>280000</v>
      </c>
      <c r="I43" s="421"/>
      <c r="J43" s="422">
        <f t="shared" ref="J43:J45" si="16">N43*O43</f>
        <v>560000</v>
      </c>
      <c r="K43" s="421"/>
      <c r="L43" s="423">
        <f>'Ke hoach doanh thu'!G38</f>
        <v>4500</v>
      </c>
      <c r="M43" s="401">
        <f>'Ke hoach doanh thu'!H38</f>
        <v>5600</v>
      </c>
      <c r="N43" s="526">
        <f t="shared" si="15"/>
        <v>11200</v>
      </c>
      <c r="O43" s="424">
        <f>'Ke hoach doanh thu'!I38</f>
        <v>50</v>
      </c>
    </row>
    <row r="44" spans="1:15" ht="18" customHeight="1">
      <c r="A44" s="159"/>
      <c r="B44" s="167" t="s">
        <v>212</v>
      </c>
      <c r="C44" s="418"/>
      <c r="D44" s="419"/>
      <c r="E44" s="420">
        <f>'Ke hoach doanh thu'!J39</f>
        <v>209000</v>
      </c>
      <c r="F44" s="421"/>
      <c r="G44" s="421"/>
      <c r="H44" s="422">
        <f>'Ke hoach doanh thu'!K39</f>
        <v>308000</v>
      </c>
      <c r="I44" s="421"/>
      <c r="J44" s="422">
        <f t="shared" si="16"/>
        <v>616000</v>
      </c>
      <c r="K44" s="421"/>
      <c r="L44" s="423">
        <f>'Ke hoach doanh thu'!G39</f>
        <v>3800</v>
      </c>
      <c r="M44" s="401">
        <f>'Ke hoach doanh thu'!H39</f>
        <v>5600</v>
      </c>
      <c r="N44" s="526">
        <f t="shared" si="15"/>
        <v>11200</v>
      </c>
      <c r="O44" s="424">
        <f>'Ke hoach doanh thu'!I39</f>
        <v>55</v>
      </c>
    </row>
    <row r="45" spans="1:15" ht="18" customHeight="1">
      <c r="A45" s="159"/>
      <c r="B45" s="167" t="s">
        <v>213</v>
      </c>
      <c r="C45" s="418"/>
      <c r="D45" s="419"/>
      <c r="E45" s="420">
        <f>'Ke hoach doanh thu'!J40</f>
        <v>192500</v>
      </c>
      <c r="F45" s="421"/>
      <c r="G45" s="421"/>
      <c r="H45" s="422">
        <f>'Ke hoach doanh thu'!K40</f>
        <v>308000</v>
      </c>
      <c r="I45" s="421"/>
      <c r="J45" s="422">
        <f t="shared" si="16"/>
        <v>616000</v>
      </c>
      <c r="K45" s="421"/>
      <c r="L45" s="423">
        <f>'Ke hoach doanh thu'!G40</f>
        <v>3500</v>
      </c>
      <c r="M45" s="401">
        <f>'Ke hoach doanh thu'!H40</f>
        <v>5600</v>
      </c>
      <c r="N45" s="526">
        <f t="shared" si="15"/>
        <v>11200</v>
      </c>
      <c r="O45" s="424">
        <f>'Ke hoach doanh thu'!I40</f>
        <v>55</v>
      </c>
    </row>
    <row r="46" spans="1:15" ht="18" customHeight="1">
      <c r="A46" s="159"/>
      <c r="B46" s="160"/>
      <c r="C46" s="410"/>
      <c r="D46" s="411"/>
      <c r="E46" s="412"/>
      <c r="F46" s="413"/>
      <c r="G46" s="413"/>
      <c r="H46" s="412"/>
      <c r="I46" s="413"/>
      <c r="J46" s="412"/>
      <c r="K46" s="413"/>
      <c r="L46" s="414"/>
      <c r="M46" s="415"/>
      <c r="N46" s="415"/>
      <c r="O46" s="424"/>
    </row>
    <row r="47" spans="1:15" ht="18" customHeight="1">
      <c r="A47" s="527">
        <v>2</v>
      </c>
      <c r="B47" s="528" t="s">
        <v>223</v>
      </c>
      <c r="C47" s="529"/>
      <c r="D47" s="530"/>
      <c r="E47" s="531">
        <f>SUM(E48:E49)</f>
        <v>500000</v>
      </c>
      <c r="F47" s="532"/>
      <c r="G47" s="532"/>
      <c r="H47" s="531">
        <f t="shared" ref="H47:J47" si="17">SUM(H48:H49)</f>
        <v>350000</v>
      </c>
      <c r="I47" s="532"/>
      <c r="J47" s="531">
        <f t="shared" si="17"/>
        <v>300000</v>
      </c>
      <c r="K47" s="532"/>
      <c r="L47" s="423"/>
      <c r="M47" s="401"/>
      <c r="N47" s="402"/>
      <c r="O47" s="424"/>
    </row>
    <row r="48" spans="1:15" ht="18" customHeight="1">
      <c r="A48" s="172"/>
      <c r="B48" s="167" t="s">
        <v>224</v>
      </c>
      <c r="C48" s="425"/>
      <c r="D48" s="426"/>
      <c r="E48" s="427">
        <v>300000</v>
      </c>
      <c r="F48" s="428"/>
      <c r="G48" s="428"/>
      <c r="H48" s="429">
        <v>250000</v>
      </c>
      <c r="I48" s="428"/>
      <c r="J48" s="429">
        <v>200000</v>
      </c>
      <c r="K48" s="428"/>
      <c r="L48" s="423"/>
      <c r="M48" s="401"/>
      <c r="N48" s="402"/>
      <c r="O48" s="424"/>
    </row>
    <row r="49" spans="1:15" ht="18" customHeight="1">
      <c r="A49" s="515"/>
      <c r="B49" s="516" t="s">
        <v>223</v>
      </c>
      <c r="C49" s="517"/>
      <c r="D49" s="518"/>
      <c r="E49" s="519">
        <v>200000</v>
      </c>
      <c r="F49" s="520"/>
      <c r="G49" s="520"/>
      <c r="H49" s="521">
        <v>100000</v>
      </c>
      <c r="I49" s="520"/>
      <c r="J49" s="521">
        <v>100000</v>
      </c>
      <c r="K49" s="520"/>
      <c r="L49" s="522"/>
      <c r="M49" s="523"/>
      <c r="N49" s="524"/>
      <c r="O49" s="525"/>
    </row>
    <row r="50" spans="1:15" ht="29" customHeight="1">
      <c r="A50" s="137" t="s">
        <v>70</v>
      </c>
      <c r="B50" s="138" t="s">
        <v>101</v>
      </c>
      <c r="C50" s="392"/>
      <c r="D50" s="403"/>
      <c r="E50" s="393">
        <f>SUM(E51+E72)</f>
        <v>7135425</v>
      </c>
      <c r="F50" s="394">
        <f>E50/E15</f>
        <v>1.1191945729746686</v>
      </c>
      <c r="G50" s="394"/>
      <c r="H50" s="393">
        <f>SUM(H51+H72)</f>
        <v>9474867</v>
      </c>
      <c r="I50" s="394">
        <f>H50/H15</f>
        <v>1.0650944265833315</v>
      </c>
      <c r="J50" s="393">
        <f>SUM(J51+J72)</f>
        <v>15735523.300000001</v>
      </c>
      <c r="K50" s="394">
        <f>J50/J15</f>
        <v>0.98186853320520906</v>
      </c>
      <c r="L50" s="430"/>
      <c r="M50" s="431"/>
      <c r="N50" s="432"/>
      <c r="O50" s="431"/>
    </row>
    <row r="51" spans="1:15" ht="26" customHeight="1">
      <c r="A51" s="186">
        <v>1</v>
      </c>
      <c r="B51" s="153" t="s">
        <v>102</v>
      </c>
      <c r="C51" s="404"/>
      <c r="D51" s="405"/>
      <c r="E51" s="406">
        <f>SUM(E52,E57,E64,E68,E70)</f>
        <v>3605230</v>
      </c>
      <c r="F51" s="407">
        <f>E51/E15</f>
        <v>0.56548192298643241</v>
      </c>
      <c r="G51" s="407">
        <f>E51/E50</f>
        <v>0.50525792086666177</v>
      </c>
      <c r="H51" s="406">
        <f>SUM(H52,H57,H64,H68,H70)</f>
        <v>4563891</v>
      </c>
      <c r="I51" s="407">
        <f>H51/H15</f>
        <v>0.51303884979428493</v>
      </c>
      <c r="J51" s="406">
        <f>SUM(J52,J57,J64,J68,J70)</f>
        <v>6559607.2999999998</v>
      </c>
      <c r="K51" s="407">
        <f>J51/J15</f>
        <v>0.40930777294538284</v>
      </c>
      <c r="L51" s="430"/>
      <c r="M51" s="431"/>
      <c r="N51" s="432"/>
      <c r="O51" s="431"/>
    </row>
    <row r="52" spans="1:15" s="195" customFormat="1" ht="18" customHeight="1">
      <c r="A52" s="187" t="s">
        <v>93</v>
      </c>
      <c r="B52" s="188" t="s">
        <v>103</v>
      </c>
      <c r="C52" s="433"/>
      <c r="D52" s="434"/>
      <c r="E52" s="435">
        <f>F52*E15</f>
        <v>637550</v>
      </c>
      <c r="F52" s="436">
        <v>0.1</v>
      </c>
      <c r="G52" s="436">
        <f>E52/E50</f>
        <v>8.9349968642372393E-2</v>
      </c>
      <c r="H52" s="435">
        <v>900000</v>
      </c>
      <c r="I52" s="436">
        <f>H52/H15</f>
        <v>0.10117133928370692</v>
      </c>
      <c r="J52" s="435">
        <f>H52*120%</f>
        <v>1080000</v>
      </c>
      <c r="K52" s="436">
        <f>J52/J15</f>
        <v>6.7390069948396678E-2</v>
      </c>
      <c r="L52" s="430"/>
      <c r="M52" s="437"/>
      <c r="N52" s="438"/>
      <c r="O52" s="437"/>
    </row>
    <row r="53" spans="1:15" ht="18" customHeight="1">
      <c r="A53" s="196" t="s">
        <v>53</v>
      </c>
      <c r="B53" s="197" t="s">
        <v>54</v>
      </c>
      <c r="C53" s="410"/>
      <c r="D53" s="411"/>
      <c r="E53" s="422"/>
      <c r="F53" s="421"/>
      <c r="G53" s="421"/>
      <c r="H53" s="422"/>
      <c r="I53" s="421"/>
      <c r="J53" s="422"/>
      <c r="K53" s="421"/>
      <c r="L53" s="430"/>
    </row>
    <row r="54" spans="1:15" ht="28" customHeight="1">
      <c r="A54" s="196" t="s">
        <v>53</v>
      </c>
      <c r="B54" s="198" t="s">
        <v>75</v>
      </c>
      <c r="C54" s="410"/>
      <c r="D54" s="411"/>
      <c r="E54" s="422"/>
      <c r="F54" s="421"/>
      <c r="G54" s="421"/>
      <c r="H54" s="422"/>
      <c r="I54" s="421"/>
      <c r="J54" s="422"/>
      <c r="K54" s="421"/>
      <c r="L54" s="430"/>
    </row>
    <row r="55" spans="1:15" ht="18" customHeight="1">
      <c r="A55" s="196" t="s">
        <v>53</v>
      </c>
      <c r="B55" s="197" t="s">
        <v>62</v>
      </c>
      <c r="C55" s="410"/>
      <c r="D55" s="411"/>
      <c r="E55" s="422"/>
      <c r="F55" s="421"/>
      <c r="G55" s="421"/>
      <c r="H55" s="422"/>
      <c r="I55" s="421"/>
      <c r="J55" s="422"/>
      <c r="K55" s="421"/>
      <c r="L55" s="430"/>
    </row>
    <row r="56" spans="1:15" ht="18" customHeight="1">
      <c r="A56" s="196" t="s">
        <v>53</v>
      </c>
      <c r="B56" s="197" t="s">
        <v>76</v>
      </c>
      <c r="C56" s="410"/>
      <c r="D56" s="411"/>
      <c r="E56" s="422"/>
      <c r="F56" s="421"/>
      <c r="G56" s="421"/>
      <c r="H56" s="422"/>
      <c r="I56" s="421"/>
      <c r="J56" s="422"/>
      <c r="K56" s="421"/>
      <c r="L56" s="430"/>
    </row>
    <row r="57" spans="1:15" s="195" customFormat="1" ht="18" customHeight="1">
      <c r="A57" s="199" t="s">
        <v>104</v>
      </c>
      <c r="B57" s="200" t="s">
        <v>105</v>
      </c>
      <c r="C57" s="439"/>
      <c r="D57" s="440"/>
      <c r="E57" s="441">
        <f>F57*E15</f>
        <v>892570.00000000012</v>
      </c>
      <c r="F57" s="442">
        <v>0.14000000000000001</v>
      </c>
      <c r="G57" s="442">
        <f>E57/E50</f>
        <v>0.12508995609932136</v>
      </c>
      <c r="H57" s="441">
        <f>E57*120%</f>
        <v>1071084</v>
      </c>
      <c r="I57" s="442">
        <f>H57/H15</f>
        <v>0.12040333640594438</v>
      </c>
      <c r="J57" s="441">
        <f>H57*120%</f>
        <v>1285300.8</v>
      </c>
      <c r="K57" s="442">
        <f>J57/J15</f>
        <v>8.0200472978453896E-2</v>
      </c>
      <c r="L57" s="430"/>
      <c r="M57" s="443"/>
      <c r="N57" s="444"/>
      <c r="O57" s="443"/>
    </row>
    <row r="58" spans="1:15" ht="18" customHeight="1">
      <c r="A58" s="206" t="s">
        <v>53</v>
      </c>
      <c r="B58" s="207" t="s">
        <v>55</v>
      </c>
      <c r="C58" s="445"/>
      <c r="D58" s="446"/>
      <c r="E58" s="447">
        <f>SUM(E59:E60)</f>
        <v>0</v>
      </c>
      <c r="F58" s="448"/>
      <c r="G58" s="448"/>
      <c r="H58" s="447">
        <f>SUM(H59:H60)</f>
        <v>0</v>
      </c>
      <c r="I58" s="448"/>
      <c r="J58" s="447">
        <f>SUM(J59:J60)</f>
        <v>0</v>
      </c>
      <c r="K58" s="448"/>
      <c r="L58" s="430"/>
    </row>
    <row r="59" spans="1:15" ht="18" customHeight="1">
      <c r="A59" s="159" t="s">
        <v>56</v>
      </c>
      <c r="B59" s="197" t="s">
        <v>57</v>
      </c>
      <c r="C59" s="410"/>
      <c r="D59" s="411"/>
      <c r="E59" s="422"/>
      <c r="F59" s="421"/>
      <c r="G59" s="421"/>
      <c r="H59" s="422"/>
      <c r="I59" s="421"/>
      <c r="J59" s="422"/>
      <c r="K59" s="421"/>
      <c r="L59" s="430"/>
    </row>
    <row r="60" spans="1:15" ht="18" customHeight="1">
      <c r="A60" s="159" t="s">
        <v>56</v>
      </c>
      <c r="B60" s="197" t="s">
        <v>58</v>
      </c>
      <c r="C60" s="410"/>
      <c r="D60" s="411"/>
      <c r="E60" s="422"/>
      <c r="F60" s="421"/>
      <c r="G60" s="421"/>
      <c r="H60" s="422"/>
      <c r="I60" s="421"/>
      <c r="J60" s="422"/>
      <c r="K60" s="421"/>
      <c r="L60" s="430"/>
    </row>
    <row r="61" spans="1:15" ht="18" customHeight="1">
      <c r="A61" s="213" t="s">
        <v>53</v>
      </c>
      <c r="B61" s="207" t="s">
        <v>59</v>
      </c>
      <c r="C61" s="445"/>
      <c r="D61" s="446"/>
      <c r="E61" s="412"/>
      <c r="F61" s="413"/>
      <c r="G61" s="413"/>
      <c r="H61" s="412"/>
      <c r="I61" s="413"/>
      <c r="J61" s="412"/>
      <c r="K61" s="413"/>
      <c r="L61" s="430"/>
    </row>
    <row r="62" spans="1:15" ht="18" customHeight="1">
      <c r="A62" s="213" t="s">
        <v>53</v>
      </c>
      <c r="B62" s="207" t="s">
        <v>60</v>
      </c>
      <c r="C62" s="445"/>
      <c r="D62" s="446"/>
      <c r="E62" s="412"/>
      <c r="F62" s="413"/>
      <c r="G62" s="413"/>
      <c r="H62" s="412"/>
      <c r="I62" s="413"/>
      <c r="J62" s="412"/>
      <c r="K62" s="413"/>
      <c r="L62" s="430"/>
    </row>
    <row r="63" spans="1:15" ht="18" customHeight="1">
      <c r="A63" s="213" t="s">
        <v>53</v>
      </c>
      <c r="B63" s="207" t="s">
        <v>61</v>
      </c>
      <c r="C63" s="445"/>
      <c r="D63" s="446"/>
      <c r="E63" s="412"/>
      <c r="F63" s="413"/>
      <c r="G63" s="413"/>
      <c r="H63" s="412"/>
      <c r="I63" s="413"/>
      <c r="J63" s="412"/>
      <c r="K63" s="413"/>
      <c r="L63" s="430"/>
    </row>
    <row r="64" spans="1:15" s="195" customFormat="1" ht="18" customHeight="1">
      <c r="A64" s="187" t="s">
        <v>99</v>
      </c>
      <c r="B64" s="188" t="s">
        <v>106</v>
      </c>
      <c r="C64" s="433"/>
      <c r="D64" s="434"/>
      <c r="E64" s="435">
        <f>F64*E15</f>
        <v>1275100</v>
      </c>
      <c r="F64" s="436">
        <v>0.2</v>
      </c>
      <c r="G64" s="436">
        <f>E64/E50</f>
        <v>0.17869993728474479</v>
      </c>
      <c r="H64" s="435">
        <f>I64*H15</f>
        <v>1334370</v>
      </c>
      <c r="I64" s="436">
        <v>0.15</v>
      </c>
      <c r="J64" s="435">
        <f>K64*J15</f>
        <v>2403915</v>
      </c>
      <c r="K64" s="436">
        <v>0.15</v>
      </c>
      <c r="L64" s="430"/>
      <c r="M64" s="443"/>
      <c r="N64" s="444"/>
      <c r="O64" s="443"/>
    </row>
    <row r="65" spans="1:25" ht="18" customHeight="1">
      <c r="A65" s="215" t="s">
        <v>53</v>
      </c>
      <c r="B65" s="197" t="s">
        <v>63</v>
      </c>
      <c r="C65" s="410"/>
      <c r="D65" s="411"/>
      <c r="E65" s="422"/>
      <c r="F65" s="421"/>
      <c r="G65" s="421"/>
      <c r="H65" s="422"/>
      <c r="I65" s="421"/>
      <c r="J65" s="422"/>
      <c r="K65" s="421"/>
      <c r="L65" s="430"/>
    </row>
    <row r="66" spans="1:25" ht="18" customHeight="1">
      <c r="A66" s="196" t="s">
        <v>53</v>
      </c>
      <c r="B66" s="197" t="s">
        <v>64</v>
      </c>
      <c r="C66" s="410"/>
      <c r="D66" s="411"/>
      <c r="E66" s="422"/>
      <c r="F66" s="421"/>
      <c r="G66" s="421"/>
      <c r="H66" s="422"/>
      <c r="I66" s="421"/>
      <c r="J66" s="422"/>
      <c r="K66" s="421"/>
      <c r="L66" s="430"/>
    </row>
    <row r="67" spans="1:25" ht="18" customHeight="1">
      <c r="A67" s="196" t="s">
        <v>53</v>
      </c>
      <c r="B67" s="197" t="s">
        <v>65</v>
      </c>
      <c r="C67" s="410"/>
      <c r="D67" s="411"/>
      <c r="E67" s="422"/>
      <c r="F67" s="421"/>
      <c r="G67" s="421"/>
      <c r="H67" s="422"/>
      <c r="I67" s="421"/>
      <c r="J67" s="422"/>
      <c r="K67" s="421"/>
      <c r="L67" s="430"/>
    </row>
    <row r="68" spans="1:25" s="216" customFormat="1" ht="18" customHeight="1">
      <c r="A68" s="187" t="s">
        <v>107</v>
      </c>
      <c r="B68" s="188" t="s">
        <v>108</v>
      </c>
      <c r="C68" s="433"/>
      <c r="D68" s="434"/>
      <c r="E68" s="435">
        <f>2%*E14</f>
        <v>137510</v>
      </c>
      <c r="F68" s="436">
        <f>E68/E15</f>
        <v>2.1568504431025017E-2</v>
      </c>
      <c r="G68" s="436">
        <f>E68/E50</f>
        <v>1.9271451945749554E-2</v>
      </c>
      <c r="H68" s="435">
        <f>1.5%*H14</f>
        <v>133437</v>
      </c>
      <c r="I68" s="572">
        <f>H68/H15</f>
        <v>1.4999999999999999E-2</v>
      </c>
      <c r="J68" s="435">
        <f>1.5%*J14</f>
        <v>240391.5</v>
      </c>
      <c r="K68" s="572">
        <f>J68/J15</f>
        <v>1.4999999999999999E-2</v>
      </c>
      <c r="L68" s="430"/>
      <c r="M68" s="443"/>
      <c r="N68" s="444"/>
      <c r="O68" s="443"/>
      <c r="P68" s="195"/>
      <c r="Q68" s="195"/>
      <c r="R68" s="195"/>
      <c r="S68" s="195"/>
      <c r="T68" s="195"/>
      <c r="U68" s="195"/>
      <c r="V68" s="195"/>
      <c r="W68" s="195"/>
      <c r="X68" s="195"/>
      <c r="Y68" s="195"/>
    </row>
    <row r="69" spans="1:25" s="224" customFormat="1" ht="18" customHeight="1">
      <c r="A69" s="217"/>
      <c r="B69" s="218" t="s">
        <v>65</v>
      </c>
      <c r="C69" s="449"/>
      <c r="D69" s="450"/>
      <c r="E69" s="420"/>
      <c r="F69" s="451"/>
      <c r="G69" s="451"/>
      <c r="H69" s="420"/>
      <c r="I69" s="451"/>
      <c r="J69" s="420"/>
      <c r="K69" s="451"/>
      <c r="L69" s="430"/>
      <c r="M69" s="375"/>
      <c r="N69" s="376"/>
      <c r="O69" s="375"/>
      <c r="P69" s="108"/>
      <c r="Q69" s="108"/>
      <c r="R69" s="108"/>
      <c r="S69" s="108"/>
      <c r="T69" s="108"/>
      <c r="U69" s="108"/>
      <c r="V69" s="108"/>
      <c r="W69" s="108"/>
      <c r="X69" s="108"/>
      <c r="Y69" s="108"/>
    </row>
    <row r="70" spans="1:25" s="224" customFormat="1" ht="28" customHeight="1">
      <c r="A70" s="187" t="s">
        <v>109</v>
      </c>
      <c r="B70" s="225" t="s">
        <v>157</v>
      </c>
      <c r="C70" s="433"/>
      <c r="D70" s="434"/>
      <c r="E70" s="452">
        <f>25%*'ĐT và PT tài chính (Bản chuẩn)'!C14</f>
        <v>662500</v>
      </c>
      <c r="F70" s="453">
        <f>E70/E15</f>
        <v>0.10391341855540742</v>
      </c>
      <c r="G70" s="453">
        <f>E70/E50</f>
        <v>9.2846606894473702E-2</v>
      </c>
      <c r="H70" s="452">
        <f>25%*'ĐT và PT tài chính (Bản chuẩn)'!C14+25%*'ĐT và PT tài chính (Bản chuẩn)'!D14</f>
        <v>1125000</v>
      </c>
      <c r="I70" s="453">
        <f>H70/H15</f>
        <v>0.12646417410463365</v>
      </c>
      <c r="J70" s="452">
        <f>H70+'ĐT và PT tài chính (Bản chuẩn)'!E14*25%</f>
        <v>1550000</v>
      </c>
      <c r="K70" s="453">
        <f>J70/J15</f>
        <v>9.6717230018532274E-2</v>
      </c>
      <c r="L70" s="430"/>
      <c r="M70" s="443"/>
      <c r="N70" s="444"/>
      <c r="O70" s="443"/>
      <c r="P70" s="195"/>
      <c r="Q70" s="195"/>
      <c r="R70" s="195"/>
      <c r="S70" s="195"/>
      <c r="T70" s="195"/>
      <c r="U70" s="195"/>
      <c r="V70" s="195"/>
      <c r="W70" s="195"/>
      <c r="X70" s="195"/>
      <c r="Y70" s="195"/>
    </row>
    <row r="71" spans="1:25" s="224" customFormat="1" ht="24" customHeight="1">
      <c r="A71" s="217"/>
      <c r="B71" s="218" t="s">
        <v>110</v>
      </c>
      <c r="C71" s="449"/>
      <c r="D71" s="450"/>
      <c r="E71" s="450"/>
      <c r="F71" s="451"/>
      <c r="G71" s="451"/>
      <c r="H71" s="450"/>
      <c r="I71" s="451"/>
      <c r="J71" s="450"/>
      <c r="K71" s="451"/>
      <c r="L71" s="430"/>
      <c r="M71" s="375"/>
      <c r="N71" s="376"/>
      <c r="O71" s="375"/>
      <c r="P71" s="108"/>
      <c r="Q71" s="108"/>
      <c r="R71" s="108"/>
      <c r="S71" s="108"/>
      <c r="T71" s="108"/>
      <c r="U71" s="108"/>
      <c r="V71" s="108"/>
      <c r="W71" s="108"/>
      <c r="X71" s="108"/>
      <c r="Y71" s="108"/>
    </row>
    <row r="72" spans="1:25" ht="30" customHeight="1">
      <c r="A72" s="186">
        <v>2</v>
      </c>
      <c r="B72" s="153" t="s">
        <v>111</v>
      </c>
      <c r="C72" s="404"/>
      <c r="D72" s="405"/>
      <c r="E72" s="406">
        <f>E73+E79+E80+E86</f>
        <v>3530195</v>
      </c>
      <c r="F72" s="407">
        <f>E72/E15</f>
        <v>0.55371264998823622</v>
      </c>
      <c r="G72" s="407">
        <f>E72/E50</f>
        <v>0.49474207913333823</v>
      </c>
      <c r="H72" s="406">
        <f>H73+H79+H80+H86</f>
        <v>4910976</v>
      </c>
      <c r="I72" s="407">
        <f>H72/H15</f>
        <v>0.55205557678904649</v>
      </c>
      <c r="J72" s="406">
        <f>J73+J79+J80+J86</f>
        <v>9175916</v>
      </c>
      <c r="K72" s="407">
        <f>J72/J15</f>
        <v>0.57256076025982616</v>
      </c>
      <c r="L72" s="430"/>
    </row>
    <row r="73" spans="1:25" s="195" customFormat="1" ht="26" customHeight="1">
      <c r="A73" s="187" t="s">
        <v>112</v>
      </c>
      <c r="B73" s="188" t="s">
        <v>66</v>
      </c>
      <c r="C73" s="433"/>
      <c r="D73" s="434"/>
      <c r="E73" s="435">
        <f>SUM(E75:E78)</f>
        <v>1630500</v>
      </c>
      <c r="F73" s="436">
        <f>E73/E15</f>
        <v>0.25574464747862913</v>
      </c>
      <c r="G73" s="436">
        <f>E73/E50</f>
        <v>0.22850776232670092</v>
      </c>
      <c r="H73" s="435">
        <f>SUM(H75:H78)</f>
        <v>2268000</v>
      </c>
      <c r="I73" s="436">
        <f>H73/H15</f>
        <v>0.25495177499494143</v>
      </c>
      <c r="J73" s="435">
        <f>SUM(J74:J78)</f>
        <v>4441200</v>
      </c>
      <c r="K73" s="436">
        <f>J73/J15</f>
        <v>0.27712294319890679</v>
      </c>
      <c r="L73" s="430"/>
      <c r="M73" s="443"/>
      <c r="N73" s="444"/>
      <c r="O73" s="443"/>
    </row>
    <row r="74" spans="1:25" s="195" customFormat="1" ht="21" customHeight="1">
      <c r="A74" s="534"/>
      <c r="B74" s="539" t="s">
        <v>214</v>
      </c>
      <c r="C74" s="535"/>
      <c r="D74" s="536"/>
      <c r="E74" s="540">
        <f>O17*30%*L16</f>
        <v>120000</v>
      </c>
      <c r="F74" s="538"/>
      <c r="G74" s="538"/>
      <c r="H74" s="537">
        <f>O17*30%*M16</f>
        <v>194400</v>
      </c>
      <c r="I74" s="538"/>
      <c r="J74" s="537">
        <f>30%*O17*N16</f>
        <v>291600</v>
      </c>
      <c r="K74" s="538"/>
      <c r="L74" s="430"/>
      <c r="M74" s="443"/>
      <c r="N74" s="444"/>
      <c r="O74" s="443"/>
    </row>
    <row r="75" spans="1:25" ht="18" customHeight="1">
      <c r="A75" s="159" t="s">
        <v>53</v>
      </c>
      <c r="B75" s="160" t="s">
        <v>219</v>
      </c>
      <c r="C75" s="410"/>
      <c r="D75" s="411"/>
      <c r="E75" s="422">
        <f>O25*30%*L22</f>
        <v>495000</v>
      </c>
      <c r="F75" s="421"/>
      <c r="G75" s="421"/>
      <c r="H75" s="422">
        <f>30%*O25*M22</f>
        <v>504000</v>
      </c>
      <c r="I75" s="421"/>
      <c r="J75" s="422">
        <f>30%*O25*N22</f>
        <v>756000</v>
      </c>
      <c r="K75" s="421"/>
      <c r="L75" s="430"/>
    </row>
    <row r="76" spans="1:25" ht="18" customHeight="1">
      <c r="A76" s="159" t="s">
        <v>53</v>
      </c>
      <c r="B76" s="160" t="s">
        <v>220</v>
      </c>
      <c r="C76" s="410"/>
      <c r="D76" s="411"/>
      <c r="E76" s="422">
        <f>O29*30%*L28</f>
        <v>408000</v>
      </c>
      <c r="F76" s="421"/>
      <c r="G76" s="421"/>
      <c r="H76" s="422">
        <f>O29*30%*M28</f>
        <v>672000</v>
      </c>
      <c r="I76" s="421"/>
      <c r="J76" s="422">
        <f>30%*O29*N28</f>
        <v>1209600</v>
      </c>
      <c r="K76" s="421"/>
      <c r="L76" s="430"/>
    </row>
    <row r="77" spans="1:25" ht="18" customHeight="1">
      <c r="A77" s="159" t="s">
        <v>53</v>
      </c>
      <c r="B77" s="160" t="s">
        <v>221</v>
      </c>
      <c r="C77" s="410"/>
      <c r="D77" s="411"/>
      <c r="E77" s="422">
        <f>30%*O37*L34</f>
        <v>408000</v>
      </c>
      <c r="F77" s="421"/>
      <c r="G77" s="421"/>
      <c r="H77" s="422">
        <f>O37*30%*M34</f>
        <v>672000</v>
      </c>
      <c r="I77" s="421"/>
      <c r="J77" s="422">
        <f>30%*O37*N34</f>
        <v>1344000</v>
      </c>
      <c r="K77" s="421"/>
      <c r="L77" s="430"/>
    </row>
    <row r="78" spans="1:25" ht="18" customHeight="1">
      <c r="A78" s="159" t="s">
        <v>53</v>
      </c>
      <c r="B78" s="160" t="s">
        <v>226</v>
      </c>
      <c r="C78" s="410"/>
      <c r="D78" s="411"/>
      <c r="E78" s="422">
        <f>30%*O41*L40</f>
        <v>319500</v>
      </c>
      <c r="F78" s="421"/>
      <c r="G78" s="421"/>
      <c r="H78" s="422">
        <f>30%*O41*M40</f>
        <v>420000</v>
      </c>
      <c r="I78" s="421"/>
      <c r="J78" s="422">
        <f>30%*O41*N40</f>
        <v>840000</v>
      </c>
      <c r="K78" s="421"/>
      <c r="L78" s="430"/>
    </row>
    <row r="79" spans="1:25" s="195" customFormat="1" ht="18" customHeight="1">
      <c r="A79" s="549" t="s">
        <v>115</v>
      </c>
      <c r="B79" s="550" t="s">
        <v>229</v>
      </c>
      <c r="C79" s="551"/>
      <c r="D79" s="552"/>
      <c r="E79" s="546">
        <f>E15*3%</f>
        <v>191265</v>
      </c>
      <c r="F79" s="547">
        <f>E79/E15</f>
        <v>0.03</v>
      </c>
      <c r="G79" s="548">
        <f>E79/E50</f>
        <v>2.6804990592711717E-2</v>
      </c>
      <c r="H79" s="546">
        <f>H15*3%</f>
        <v>266874</v>
      </c>
      <c r="I79" s="547">
        <f>H79/H15</f>
        <v>0.03</v>
      </c>
      <c r="J79" s="546">
        <f>J15*3%</f>
        <v>480783</v>
      </c>
      <c r="K79" s="547">
        <f>J79/J15</f>
        <v>0.03</v>
      </c>
      <c r="L79" s="430"/>
      <c r="M79" s="443"/>
      <c r="N79" s="444"/>
      <c r="O79" s="443"/>
    </row>
    <row r="80" spans="1:25" s="195" customFormat="1" ht="18" customHeight="1">
      <c r="A80" s="549">
        <v>2.2999999999999998</v>
      </c>
      <c r="B80" s="550" t="s">
        <v>236</v>
      </c>
      <c r="C80" s="551"/>
      <c r="D80" s="552"/>
      <c r="E80" s="546">
        <f>SUM(E81:E85)</f>
        <v>1517165</v>
      </c>
      <c r="F80" s="547">
        <f>E80/E15</f>
        <v>0.23796800250960709</v>
      </c>
      <c r="G80" s="548"/>
      <c r="H80" s="546">
        <f>SUM(H81:H85)</f>
        <v>2109228</v>
      </c>
      <c r="I80" s="547">
        <f>H80/H15</f>
        <v>0.23710380179410509</v>
      </c>
      <c r="J80" s="546">
        <f>SUM(J81:J85)</f>
        <v>3773150</v>
      </c>
      <c r="K80" s="547">
        <f>J80/J15</f>
        <v>0.23543781706091937</v>
      </c>
      <c r="L80" s="430"/>
      <c r="M80" s="443"/>
      <c r="N80" s="444"/>
      <c r="O80" s="443"/>
    </row>
    <row r="81" spans="1:15" s="195" customFormat="1" ht="18" customHeight="1">
      <c r="A81" s="554"/>
      <c r="B81" s="555" t="s">
        <v>231</v>
      </c>
      <c r="C81" s="556"/>
      <c r="D81" s="557"/>
      <c r="E81" s="558">
        <f>F81*(E17+E23+E29+E35+E41)</f>
        <v>213200</v>
      </c>
      <c r="F81" s="553">
        <v>0.2</v>
      </c>
      <c r="G81" s="553"/>
      <c r="H81" s="558">
        <f>I81*(H17+H23+H29+H35+H41)</f>
        <v>347840</v>
      </c>
      <c r="I81" s="553">
        <v>0.2</v>
      </c>
      <c r="J81" s="558">
        <f>K81*(J17+J23+J29+J35+J41)</f>
        <v>619760</v>
      </c>
      <c r="K81" s="553">
        <v>0.2</v>
      </c>
      <c r="L81" s="430"/>
      <c r="M81" s="443"/>
      <c r="N81" s="444"/>
      <c r="O81" s="443"/>
    </row>
    <row r="82" spans="1:15" s="195" customFormat="1" ht="18" customHeight="1">
      <c r="A82" s="554"/>
      <c r="B82" s="555" t="s">
        <v>232</v>
      </c>
      <c r="C82" s="556"/>
      <c r="D82" s="557"/>
      <c r="E82" s="558">
        <f>F82*(E17+E24+E30+E36+E42)</f>
        <v>590625</v>
      </c>
      <c r="F82" s="553">
        <v>0.25</v>
      </c>
      <c r="G82" s="553"/>
      <c r="H82" s="558">
        <f>I82*(H17+H24+H30+H36+H42)</f>
        <v>488000</v>
      </c>
      <c r="I82" s="553">
        <v>0.25</v>
      </c>
      <c r="J82" s="558">
        <f>K82*(J17+J24+J30+J36+J42)</f>
        <v>875500</v>
      </c>
      <c r="K82" s="553">
        <v>0.25</v>
      </c>
      <c r="L82" s="430"/>
      <c r="M82" s="443"/>
      <c r="N82" s="444"/>
      <c r="O82" s="443"/>
    </row>
    <row r="83" spans="1:15" s="195" customFormat="1" ht="18" customHeight="1">
      <c r="A83" s="554"/>
      <c r="B83" s="555" t="s">
        <v>233</v>
      </c>
      <c r="C83" s="556"/>
      <c r="D83" s="557"/>
      <c r="E83" s="558">
        <f>F83*(E19+E25+E31+E37+E43)</f>
        <v>273750</v>
      </c>
      <c r="F83" s="553">
        <v>0.25</v>
      </c>
      <c r="G83" s="553"/>
      <c r="H83" s="558">
        <f>I83*(H19+H25+H31+H37+H43)</f>
        <v>452750</v>
      </c>
      <c r="I83" s="553">
        <v>0.25</v>
      </c>
      <c r="J83" s="558">
        <f>K83*(J19+J25+J31+J37+J43)</f>
        <v>807925</v>
      </c>
      <c r="K83" s="553">
        <v>0.25</v>
      </c>
      <c r="L83" s="430"/>
      <c r="M83" s="443"/>
      <c r="N83" s="444"/>
      <c r="O83" s="443"/>
    </row>
    <row r="84" spans="1:15" s="195" customFormat="1" ht="18" customHeight="1">
      <c r="A84" s="554"/>
      <c r="B84" s="555" t="s">
        <v>234</v>
      </c>
      <c r="C84" s="556"/>
      <c r="D84" s="557"/>
      <c r="E84" s="558">
        <f>F84*(E20+E26+E32+E38+E44)</f>
        <v>115350</v>
      </c>
      <c r="F84" s="553">
        <v>0.15</v>
      </c>
      <c r="G84" s="553"/>
      <c r="H84" s="558">
        <f>I84*(H20+H26+H32+H38+H44)</f>
        <v>280350</v>
      </c>
      <c r="I84" s="553">
        <v>0.15</v>
      </c>
      <c r="J84" s="558">
        <f>K84*(J20+J26+J32+J38+J44)</f>
        <v>501165</v>
      </c>
      <c r="K84" s="553">
        <v>0.15</v>
      </c>
      <c r="L84" s="430"/>
      <c r="M84" s="443"/>
      <c r="N84" s="444"/>
      <c r="O84" s="443"/>
    </row>
    <row r="85" spans="1:15" s="195" customFormat="1" ht="18" customHeight="1">
      <c r="A85" s="554"/>
      <c r="B85" s="555" t="s">
        <v>235</v>
      </c>
      <c r="C85" s="556"/>
      <c r="D85" s="557"/>
      <c r="E85" s="558">
        <f>F85*(E21+E27+E33+E39+E45)</f>
        <v>324240.00000000006</v>
      </c>
      <c r="F85" s="553">
        <v>0.28000000000000003</v>
      </c>
      <c r="G85" s="553"/>
      <c r="H85" s="558">
        <f>I85*(H21+H27+H33+H39+H45)</f>
        <v>540288</v>
      </c>
      <c r="I85" s="553">
        <v>0.28000000000000003</v>
      </c>
      <c r="J85" s="558">
        <f>K85*(J21+J27+J33+J39+J45)</f>
        <v>968800.00000000012</v>
      </c>
      <c r="K85" s="553">
        <v>0.28000000000000003</v>
      </c>
      <c r="L85" s="430"/>
      <c r="M85" s="443"/>
      <c r="N85" s="444"/>
      <c r="O85" s="443"/>
    </row>
    <row r="86" spans="1:15" s="195" customFormat="1" ht="18" customHeight="1">
      <c r="A86" s="549">
        <v>2.4</v>
      </c>
      <c r="B86" s="550" t="s">
        <v>67</v>
      </c>
      <c r="C86" s="551"/>
      <c r="D86" s="552"/>
      <c r="E86" s="546">
        <f>3%*E15</f>
        <v>191265</v>
      </c>
      <c r="F86" s="548">
        <f>E86/E14</f>
        <v>2.7818340484328411E-2</v>
      </c>
      <c r="G86" s="548">
        <f>E86/E50</f>
        <v>2.6804990592711717E-2</v>
      </c>
      <c r="H86" s="546">
        <f>3%*H15</f>
        <v>266874</v>
      </c>
      <c r="I86" s="548">
        <f>H86/H14</f>
        <v>0.03</v>
      </c>
      <c r="J86" s="546">
        <f>3%*J15</f>
        <v>480783</v>
      </c>
      <c r="K86" s="548">
        <f>J86/J14</f>
        <v>0.03</v>
      </c>
      <c r="L86" s="430"/>
      <c r="M86" s="443"/>
      <c r="N86" s="444"/>
      <c r="O86" s="443"/>
    </row>
    <row r="87" spans="1:15" ht="30" customHeight="1">
      <c r="A87" s="231" t="s">
        <v>53</v>
      </c>
      <c r="B87" s="232" t="s">
        <v>68</v>
      </c>
      <c r="C87" s="454"/>
      <c r="D87" s="455"/>
      <c r="E87" s="422"/>
      <c r="F87" s="421"/>
      <c r="G87" s="421"/>
      <c r="H87" s="422"/>
      <c r="I87" s="421"/>
      <c r="J87" s="422"/>
      <c r="K87" s="421"/>
      <c r="L87" s="430"/>
    </row>
    <row r="88" spans="1:15" ht="25" customHeight="1">
      <c r="A88" s="231" t="s">
        <v>53</v>
      </c>
      <c r="B88" s="232" t="s">
        <v>69</v>
      </c>
      <c r="C88" s="454"/>
      <c r="D88" s="455"/>
      <c r="E88" s="422"/>
      <c r="F88" s="421"/>
      <c r="G88" s="421"/>
      <c r="H88" s="422"/>
      <c r="I88" s="421"/>
      <c r="J88" s="422"/>
      <c r="K88" s="421"/>
      <c r="L88" s="430"/>
    </row>
    <row r="89" spans="1:15" s="242" customFormat="1" ht="23" customHeight="1">
      <c r="A89" s="235">
        <v>3</v>
      </c>
      <c r="B89" s="236" t="s">
        <v>120</v>
      </c>
      <c r="C89" s="456"/>
      <c r="D89" s="457"/>
      <c r="E89" s="458">
        <f>E14-E50</f>
        <v>-259925</v>
      </c>
      <c r="F89" s="458"/>
      <c r="G89" s="458"/>
      <c r="H89" s="458">
        <f t="shared" ref="H89:J89" si="18">H14-H50</f>
        <v>-579067</v>
      </c>
      <c r="I89" s="458"/>
      <c r="J89" s="458">
        <f t="shared" si="18"/>
        <v>290576.69999999925</v>
      </c>
      <c r="K89" s="459"/>
      <c r="L89" s="430"/>
      <c r="M89" s="460"/>
      <c r="N89" s="461"/>
      <c r="O89" s="460"/>
    </row>
    <row r="90" spans="1:15" s="195" customFormat="1" ht="23" customHeight="1">
      <c r="A90" s="186">
        <v>4</v>
      </c>
      <c r="B90" s="153" t="s">
        <v>121</v>
      </c>
      <c r="C90" s="404"/>
      <c r="D90" s="405"/>
      <c r="E90" s="406">
        <f>SUM(E91:E94)</f>
        <v>320775</v>
      </c>
      <c r="F90" s="406"/>
      <c r="G90" s="407"/>
      <c r="H90" s="406">
        <f t="shared" ref="H90:K90" si="19">SUM(H91:H94)</f>
        <v>466790</v>
      </c>
      <c r="I90" s="406">
        <f t="shared" si="19"/>
        <v>0</v>
      </c>
      <c r="J90" s="406">
        <f t="shared" si="19"/>
        <v>854305</v>
      </c>
      <c r="K90" s="406">
        <f t="shared" si="19"/>
        <v>0</v>
      </c>
      <c r="L90" s="430"/>
      <c r="M90" s="443"/>
      <c r="N90" s="444"/>
      <c r="O90" s="443"/>
    </row>
    <row r="91" spans="1:15" ht="18" customHeight="1">
      <c r="A91" s="159" t="s">
        <v>53</v>
      </c>
      <c r="B91" s="197" t="s">
        <v>122</v>
      </c>
      <c r="C91" s="410"/>
      <c r="D91" s="411"/>
      <c r="E91" s="422"/>
      <c r="F91" s="421"/>
      <c r="G91" s="421"/>
      <c r="H91" s="422"/>
      <c r="I91" s="421"/>
      <c r="J91" s="422"/>
      <c r="K91" s="421"/>
      <c r="L91" s="430"/>
    </row>
    <row r="92" spans="1:15" ht="18" customHeight="1">
      <c r="A92" s="159" t="s">
        <v>53</v>
      </c>
      <c r="B92" s="197" t="s">
        <v>123</v>
      </c>
      <c r="C92" s="410"/>
      <c r="D92" s="411"/>
      <c r="E92" s="422">
        <v>2000</v>
      </c>
      <c r="F92" s="421"/>
      <c r="G92" s="421"/>
      <c r="H92" s="422">
        <v>2000</v>
      </c>
      <c r="I92" s="421"/>
      <c r="J92" s="422">
        <v>3000</v>
      </c>
      <c r="K92" s="421"/>
      <c r="L92" s="430"/>
    </row>
    <row r="93" spans="1:15" ht="18" customHeight="1">
      <c r="A93" s="179" t="s">
        <v>53</v>
      </c>
      <c r="B93" s="243" t="s">
        <v>124</v>
      </c>
      <c r="C93" s="462"/>
      <c r="D93" s="463"/>
      <c r="E93" s="464"/>
      <c r="F93" s="465"/>
      <c r="G93" s="465"/>
      <c r="H93" s="464">
        <v>20000</v>
      </c>
      <c r="I93" s="465"/>
      <c r="J93" s="464">
        <v>50000</v>
      </c>
      <c r="K93" s="465"/>
      <c r="L93" s="430"/>
    </row>
    <row r="94" spans="1:15" ht="18" customHeight="1">
      <c r="A94" s="515"/>
      <c r="B94" s="541" t="s">
        <v>230</v>
      </c>
      <c r="C94" s="542"/>
      <c r="D94" s="543"/>
      <c r="E94" s="544">
        <f>E15*5%</f>
        <v>318775</v>
      </c>
      <c r="F94" s="545"/>
      <c r="G94" s="545"/>
      <c r="H94" s="544">
        <f>H15*5%</f>
        <v>444790</v>
      </c>
      <c r="I94" s="545"/>
      <c r="J94" s="544">
        <f>J15*5%</f>
        <v>801305</v>
      </c>
      <c r="K94" s="545"/>
      <c r="L94" s="430"/>
    </row>
    <row r="95" spans="1:15" s="242" customFormat="1" ht="26" customHeight="1">
      <c r="A95" s="249" t="s">
        <v>71</v>
      </c>
      <c r="B95" s="250" t="s">
        <v>125</v>
      </c>
      <c r="C95" s="466"/>
      <c r="D95" s="467"/>
      <c r="E95" s="468">
        <f>E89-E90</f>
        <v>-580700</v>
      </c>
      <c r="F95" s="469"/>
      <c r="G95" s="469"/>
      <c r="H95" s="468">
        <f>H89-H90</f>
        <v>-1045857</v>
      </c>
      <c r="I95" s="469"/>
      <c r="J95" s="468">
        <f>J89-J90</f>
        <v>-563728.30000000075</v>
      </c>
      <c r="K95" s="469"/>
      <c r="L95" s="430"/>
      <c r="M95" s="460"/>
      <c r="N95" s="461"/>
      <c r="O95" s="460"/>
    </row>
    <row r="96" spans="1:15" s="242" customFormat="1" ht="18" customHeight="1">
      <c r="A96" s="354" t="s">
        <v>77</v>
      </c>
      <c r="B96" s="355" t="s">
        <v>126</v>
      </c>
      <c r="C96" s="470"/>
      <c r="D96" s="471"/>
      <c r="E96" s="472">
        <f>E70</f>
        <v>662500</v>
      </c>
      <c r="F96" s="533"/>
      <c r="G96" s="533"/>
      <c r="H96" s="472">
        <f t="shared" ref="H96:J96" si="20">H70</f>
        <v>1125000</v>
      </c>
      <c r="I96" s="533"/>
      <c r="J96" s="472">
        <f t="shared" si="20"/>
        <v>1550000</v>
      </c>
      <c r="K96" s="533"/>
      <c r="L96" s="430"/>
      <c r="M96" s="460"/>
      <c r="N96" s="461"/>
      <c r="O96" s="460"/>
    </row>
    <row r="97" spans="1:15" ht="18" customHeight="1">
      <c r="A97" s="345" t="s">
        <v>127</v>
      </c>
      <c r="B97" s="359" t="s">
        <v>128</v>
      </c>
      <c r="C97" s="473"/>
      <c r="D97" s="474"/>
      <c r="E97" s="475">
        <v>0</v>
      </c>
      <c r="F97" s="476"/>
      <c r="G97" s="476"/>
      <c r="H97" s="475">
        <v>0</v>
      </c>
      <c r="I97" s="476"/>
      <c r="J97" s="475">
        <v>0</v>
      </c>
      <c r="K97" s="476"/>
      <c r="L97" s="430"/>
    </row>
    <row r="98" spans="1:15" s="242" customFormat="1" ht="18" customHeight="1">
      <c r="A98" s="345" t="s">
        <v>161</v>
      </c>
      <c r="B98" s="272" t="s">
        <v>160</v>
      </c>
      <c r="C98" s="473"/>
      <c r="D98" s="474"/>
      <c r="E98" s="474">
        <f>SUM(E95:E97)</f>
        <v>81800</v>
      </c>
      <c r="F98" s="476"/>
      <c r="G98" s="476"/>
      <c r="H98" s="474">
        <f>SUM(H95:H97)</f>
        <v>79143</v>
      </c>
      <c r="I98" s="476"/>
      <c r="J98" s="474">
        <f>SUM(J95:J97)</f>
        <v>986271.69999999925</v>
      </c>
      <c r="K98" s="476"/>
      <c r="L98" s="430"/>
      <c r="M98" s="460"/>
      <c r="N98" s="461"/>
      <c r="O98" s="460"/>
    </row>
    <row r="99" spans="1:15" ht="18" customHeight="1">
      <c r="A99" s="345" t="s">
        <v>162</v>
      </c>
      <c r="B99" s="272" t="s">
        <v>159</v>
      </c>
      <c r="C99" s="473"/>
      <c r="D99" s="474">
        <f>D98-D12</f>
        <v>-4132473.666666667</v>
      </c>
      <c r="E99" s="474">
        <f>D99+E98</f>
        <v>-4050673.666666667</v>
      </c>
      <c r="F99" s="476"/>
      <c r="G99" s="476"/>
      <c r="H99" s="474">
        <f>E99+H98</f>
        <v>-3971530.666666667</v>
      </c>
      <c r="I99" s="476"/>
      <c r="J99" s="474">
        <f>H99+J98</f>
        <v>-2985258.9666666677</v>
      </c>
      <c r="K99" s="476"/>
      <c r="L99" s="430"/>
    </row>
    <row r="100" spans="1:15" ht="18" customHeight="1">
      <c r="A100" s="345" t="s">
        <v>142</v>
      </c>
      <c r="B100" s="272" t="s">
        <v>158</v>
      </c>
      <c r="C100" s="473"/>
      <c r="D100" s="474"/>
      <c r="E100" s="474">
        <v>12</v>
      </c>
      <c r="F100" s="476"/>
      <c r="G100" s="476"/>
      <c r="H100" s="474">
        <v>12</v>
      </c>
      <c r="I100" s="476"/>
      <c r="J100" s="474">
        <v>12</v>
      </c>
      <c r="K100" s="476"/>
      <c r="L100" s="666"/>
    </row>
    <row r="101" spans="1:15" ht="18" customHeight="1">
      <c r="A101" s="256"/>
      <c r="J101" s="480"/>
    </row>
    <row r="102" spans="1:15">
      <c r="B102" s="258" t="s">
        <v>72</v>
      </c>
      <c r="C102" s="482"/>
      <c r="D102" s="480"/>
      <c r="E102" s="480"/>
      <c r="F102" s="483"/>
      <c r="G102" s="483"/>
      <c r="H102" s="480"/>
      <c r="I102" s="483"/>
      <c r="J102" s="480" t="s">
        <v>73</v>
      </c>
      <c r="K102" s="483"/>
      <c r="L102" s="484"/>
    </row>
    <row r="103" spans="1:15">
      <c r="B103" s="258"/>
      <c r="C103" s="482"/>
      <c r="D103" s="480"/>
      <c r="E103" s="480"/>
      <c r="F103" s="483"/>
      <c r="G103" s="483"/>
      <c r="H103" s="480"/>
      <c r="I103" s="483"/>
      <c r="J103" s="480"/>
      <c r="K103" s="483"/>
      <c r="L103" s="484"/>
    </row>
    <row r="104" spans="1:15">
      <c r="B104" s="258"/>
      <c r="C104" s="482"/>
      <c r="D104" s="480"/>
      <c r="E104" s="660"/>
      <c r="F104" s="660"/>
      <c r="G104" s="660"/>
      <c r="H104" s="660"/>
      <c r="I104" s="660"/>
      <c r="J104" s="660"/>
      <c r="K104" s="483"/>
      <c r="L104" s="484"/>
    </row>
    <row r="105" spans="1:15">
      <c r="B105" s="477"/>
    </row>
    <row r="106" spans="1:15">
      <c r="B106" s="477"/>
    </row>
    <row r="111" spans="1:15">
      <c r="F111" s="662"/>
      <c r="G111" s="662"/>
    </row>
    <row r="112" spans="1:15">
      <c r="F112" s="661"/>
      <c r="G112" s="661"/>
    </row>
    <row r="114" spans="6:6">
      <c r="F114" s="661"/>
    </row>
  </sheetData>
  <mergeCells count="13">
    <mergeCell ref="A8:J8"/>
    <mergeCell ref="A4:B4"/>
    <mergeCell ref="C4:J4"/>
    <mergeCell ref="A5:B5"/>
    <mergeCell ref="C5:J5"/>
    <mergeCell ref="A6:B6"/>
    <mergeCell ref="C6:J6"/>
    <mergeCell ref="A1:B1"/>
    <mergeCell ref="C1:J1"/>
    <mergeCell ref="A2:B2"/>
    <mergeCell ref="C2:J2"/>
    <mergeCell ref="A3:B3"/>
    <mergeCell ref="C3:J3"/>
  </mergeCells>
  <pageMargins left="0.70866141732283472" right="0.70866141732283472" top="0.98425196850393704" bottom="0.78740157480314965" header="0" footer="0"/>
  <pageSetup paperSize="9" scale="69" fitToHeight="0" orientation="landscape" r:id="rId1"/>
  <headerFooter>
    <oddHeader>&amp;L&amp;G</oddHeader>
    <oddFooter>&amp;R&amp;"System Font,Regular"&amp;K000000&amp;G</oddFooter>
  </headerFooter>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Q46"/>
  <sheetViews>
    <sheetView showGridLines="0" topLeftCell="A3" zoomScaleNormal="100" workbookViewId="0">
      <selection activeCell="A3" sqref="A1:XFD1048576"/>
    </sheetView>
  </sheetViews>
  <sheetFormatPr baseColWidth="10" defaultColWidth="8.83203125" defaultRowHeight="13"/>
  <cols>
    <col min="1" max="1" width="6.33203125" style="649" customWidth="1"/>
    <col min="2" max="2" width="11.5" style="650" customWidth="1"/>
    <col min="3" max="3" width="30.5" style="651" customWidth="1"/>
    <col min="4" max="4" width="7.6640625" style="652" customWidth="1"/>
    <col min="5" max="5" width="8" style="652" customWidth="1"/>
    <col min="6" max="6" width="1.1640625" style="653" customWidth="1"/>
    <col min="7" max="7" width="12.1640625" style="654" customWidth="1"/>
    <col min="8" max="8" width="10.5" style="655" customWidth="1"/>
    <col min="9" max="9" width="10.83203125" style="642" customWidth="1"/>
    <col min="10" max="10" width="21.6640625" style="647" customWidth="1"/>
    <col min="11" max="11" width="21.1640625" style="647" customWidth="1"/>
    <col min="12" max="12" width="8.33203125" style="647" customWidth="1"/>
    <col min="13" max="13" width="18" style="611" customWidth="1"/>
    <col min="14" max="14" width="11.33203125" style="647" customWidth="1"/>
    <col min="15" max="15" width="17.83203125" style="611" customWidth="1"/>
    <col min="16" max="16" width="11.6640625" style="647" customWidth="1"/>
    <col min="17" max="17" width="15.6640625" style="611" customWidth="1"/>
    <col min="18" max="18" width="12.33203125" style="611" customWidth="1"/>
    <col min="19" max="19" width="14.5" style="611" customWidth="1"/>
    <col min="20" max="20" width="12.83203125" style="647" customWidth="1"/>
    <col min="21" max="21" width="13.1640625" style="611" customWidth="1"/>
    <col min="22" max="22" width="10.1640625" style="647" customWidth="1"/>
    <col min="23" max="23" width="13.5" style="611" customWidth="1"/>
    <col min="24" max="24" width="9.33203125" style="647" customWidth="1"/>
    <col min="25" max="25" width="15.5" style="611" customWidth="1"/>
    <col min="26" max="26" width="11.6640625" style="611" customWidth="1"/>
    <col min="27" max="27" width="20.33203125" style="611" customWidth="1"/>
    <col min="28" max="28" width="8.5" style="647" customWidth="1"/>
    <col min="29" max="29" width="19.83203125" style="611" customWidth="1"/>
    <col min="30" max="30" width="6.6640625" style="647" customWidth="1"/>
    <col min="31" max="31" width="20.5" style="611" customWidth="1"/>
    <col min="32" max="32" width="7.5" style="647" customWidth="1"/>
    <col min="33" max="33" width="21.1640625" style="611" customWidth="1"/>
    <col min="34" max="34" width="9.5" style="611" customWidth="1"/>
    <col min="35" max="35" width="21.1640625" style="611" customWidth="1"/>
    <col min="36" max="36" width="8.33203125" style="647" customWidth="1"/>
    <col min="37" max="37" width="20.1640625" style="611" customWidth="1"/>
    <col min="38" max="38" width="8.33203125" style="647" customWidth="1"/>
    <col min="39" max="39" width="20.33203125" style="611" customWidth="1"/>
    <col min="40" max="40" width="7.1640625" style="647" customWidth="1"/>
    <col min="41" max="41" width="20.33203125" style="611" customWidth="1"/>
    <col min="42" max="42" width="10.5" style="611" customWidth="1"/>
    <col min="43" max="43" width="21.1640625" style="611" customWidth="1"/>
    <col min="44" max="16384" width="8.83203125" style="611"/>
  </cols>
  <sheetData>
    <row r="1" spans="1:43" s="108" customFormat="1" ht="17" customHeight="1">
      <c r="A1" s="680" t="s">
        <v>78</v>
      </c>
      <c r="B1" s="681"/>
      <c r="C1" s="687" t="s">
        <v>175</v>
      </c>
      <c r="D1" s="688"/>
      <c r="E1" s="688"/>
      <c r="F1" s="688"/>
      <c r="G1" s="688"/>
      <c r="H1" s="688"/>
      <c r="I1" s="688"/>
      <c r="J1" s="688"/>
      <c r="K1" s="373"/>
      <c r="L1" s="374"/>
      <c r="M1" s="375"/>
      <c r="N1" s="376"/>
      <c r="O1" s="375"/>
    </row>
    <row r="2" spans="1:43" s="108" customFormat="1" ht="17" customHeight="1">
      <c r="A2" s="682" t="s">
        <v>1</v>
      </c>
      <c r="B2" s="683"/>
      <c r="C2" s="687"/>
      <c r="D2" s="688"/>
      <c r="E2" s="688"/>
      <c r="F2" s="688"/>
      <c r="G2" s="688"/>
      <c r="H2" s="688"/>
      <c r="I2" s="688"/>
      <c r="J2" s="688"/>
      <c r="K2" s="373"/>
      <c r="L2" s="374"/>
      <c r="M2" s="375"/>
      <c r="N2" s="376"/>
      <c r="O2" s="375"/>
    </row>
    <row r="3" spans="1:43" s="108" customFormat="1" ht="17" customHeight="1">
      <c r="A3" s="682" t="s">
        <v>0</v>
      </c>
      <c r="B3" s="683"/>
      <c r="C3" s="687"/>
      <c r="D3" s="688"/>
      <c r="E3" s="688"/>
      <c r="F3" s="688"/>
      <c r="G3" s="688"/>
      <c r="H3" s="688"/>
      <c r="I3" s="688"/>
      <c r="J3" s="688"/>
      <c r="K3" s="373"/>
      <c r="L3" s="374"/>
      <c r="M3" s="375"/>
      <c r="N3" s="376"/>
      <c r="O3" s="375"/>
    </row>
    <row r="4" spans="1:43" s="108" customFormat="1" ht="17" customHeight="1">
      <c r="A4" s="682" t="s">
        <v>2</v>
      </c>
      <c r="B4" s="683"/>
      <c r="C4" s="687"/>
      <c r="D4" s="688"/>
      <c r="E4" s="688"/>
      <c r="F4" s="688"/>
      <c r="G4" s="688"/>
      <c r="H4" s="688"/>
      <c r="I4" s="688"/>
      <c r="J4" s="688"/>
      <c r="K4" s="373"/>
      <c r="L4" s="374"/>
      <c r="M4" s="375"/>
      <c r="N4" s="376"/>
      <c r="O4" s="375"/>
    </row>
    <row r="5" spans="1:43" s="108" customFormat="1" ht="17" customHeight="1">
      <c r="A5" s="682" t="s">
        <v>3</v>
      </c>
      <c r="B5" s="683"/>
      <c r="C5" s="687"/>
      <c r="D5" s="688"/>
      <c r="E5" s="688"/>
      <c r="F5" s="688"/>
      <c r="G5" s="688"/>
      <c r="H5" s="688"/>
      <c r="I5" s="688"/>
      <c r="J5" s="688"/>
      <c r="K5" s="373"/>
      <c r="L5" s="374"/>
      <c r="M5" s="375"/>
      <c r="N5" s="376"/>
      <c r="O5" s="375"/>
    </row>
    <row r="6" spans="1:43" s="108" customFormat="1" ht="17" customHeight="1">
      <c r="A6" s="684" t="s">
        <v>42</v>
      </c>
      <c r="B6" s="685"/>
      <c r="C6" s="689">
        <v>43617</v>
      </c>
      <c r="D6" s="688"/>
      <c r="E6" s="688"/>
      <c r="F6" s="688"/>
      <c r="G6" s="688"/>
      <c r="H6" s="688"/>
      <c r="I6" s="688"/>
      <c r="J6" s="688"/>
      <c r="K6" s="373"/>
      <c r="L6" s="374"/>
      <c r="M6" s="375"/>
      <c r="N6" s="376"/>
      <c r="O6" s="375"/>
    </row>
    <row r="8" spans="1:43" s="577" customFormat="1">
      <c r="A8" s="702" t="s">
        <v>176</v>
      </c>
      <c r="B8" s="703"/>
      <c r="C8" s="703"/>
      <c r="D8" s="703"/>
      <c r="E8" s="703"/>
      <c r="F8" s="703"/>
      <c r="G8" s="703"/>
      <c r="H8" s="703"/>
      <c r="I8" s="703"/>
      <c r="J8" s="703"/>
      <c r="K8" s="703"/>
      <c r="L8" s="576"/>
      <c r="M8" s="577" t="s">
        <v>225</v>
      </c>
      <c r="N8" s="576"/>
      <c r="P8" s="576"/>
      <c r="T8" s="576"/>
      <c r="V8" s="576"/>
      <c r="X8" s="576"/>
      <c r="AB8" s="576"/>
      <c r="AD8" s="576"/>
      <c r="AF8" s="576"/>
      <c r="AJ8" s="576"/>
      <c r="AL8" s="576"/>
      <c r="AN8" s="576"/>
    </row>
    <row r="9" spans="1:43" s="577" customFormat="1">
      <c r="A9" s="704">
        <v>1</v>
      </c>
      <c r="B9" s="705" t="s">
        <v>177</v>
      </c>
      <c r="C9" s="704" t="s">
        <v>178</v>
      </c>
      <c r="D9" s="707" t="s">
        <v>179</v>
      </c>
      <c r="E9" s="708"/>
      <c r="F9" s="709"/>
      <c r="G9" s="707" t="s">
        <v>180</v>
      </c>
      <c r="H9" s="708"/>
      <c r="I9" s="710" t="s">
        <v>181</v>
      </c>
      <c r="J9" s="712"/>
      <c r="K9" s="713"/>
      <c r="L9" s="701" t="s">
        <v>6</v>
      </c>
      <c r="M9" s="701"/>
      <c r="N9" s="701" t="s">
        <v>7</v>
      </c>
      <c r="O9" s="701"/>
      <c r="P9" s="701" t="s">
        <v>8</v>
      </c>
      <c r="Q9" s="701"/>
      <c r="R9" s="699" t="s">
        <v>182</v>
      </c>
      <c r="S9" s="700"/>
      <c r="T9" s="692" t="s">
        <v>11</v>
      </c>
      <c r="U9" s="692"/>
      <c r="V9" s="692" t="s">
        <v>12</v>
      </c>
      <c r="W9" s="692"/>
      <c r="X9" s="692" t="s">
        <v>13</v>
      </c>
      <c r="Y9" s="692"/>
      <c r="Z9" s="693" t="s">
        <v>183</v>
      </c>
      <c r="AA9" s="694"/>
      <c r="AB9" s="697" t="s">
        <v>16</v>
      </c>
      <c r="AC9" s="698"/>
      <c r="AD9" s="697" t="s">
        <v>17</v>
      </c>
      <c r="AE9" s="698"/>
      <c r="AF9" s="697" t="s">
        <v>18</v>
      </c>
      <c r="AG9" s="698"/>
      <c r="AH9" s="699" t="s">
        <v>184</v>
      </c>
      <c r="AI9" s="700"/>
      <c r="AJ9" s="692" t="s">
        <v>21</v>
      </c>
      <c r="AK9" s="692"/>
      <c r="AL9" s="692" t="s">
        <v>22</v>
      </c>
      <c r="AM9" s="692"/>
      <c r="AN9" s="692" t="s">
        <v>23</v>
      </c>
      <c r="AO9" s="692"/>
      <c r="AP9" s="693" t="s">
        <v>185</v>
      </c>
      <c r="AQ9" s="694"/>
    </row>
    <row r="10" spans="1:43" s="577" customFormat="1" ht="56">
      <c r="A10" s="704"/>
      <c r="B10" s="706"/>
      <c r="C10" s="704"/>
      <c r="D10" s="578">
        <v>2019</v>
      </c>
      <c r="E10" s="578">
        <v>2020</v>
      </c>
      <c r="F10" s="709"/>
      <c r="G10" s="579" t="s">
        <v>204</v>
      </c>
      <c r="H10" s="580" t="s">
        <v>205</v>
      </c>
      <c r="I10" s="711"/>
      <c r="J10" s="580" t="s">
        <v>206</v>
      </c>
      <c r="K10" s="581" t="s">
        <v>207</v>
      </c>
      <c r="L10" s="582" t="s">
        <v>186</v>
      </c>
      <c r="M10" s="583" t="s">
        <v>187</v>
      </c>
      <c r="N10" s="582" t="s">
        <v>186</v>
      </c>
      <c r="O10" s="583" t="s">
        <v>187</v>
      </c>
      <c r="P10" s="582" t="s">
        <v>186</v>
      </c>
      <c r="Q10" s="583" t="s">
        <v>187</v>
      </c>
      <c r="R10" s="582" t="s">
        <v>186</v>
      </c>
      <c r="S10" s="583" t="s">
        <v>187</v>
      </c>
      <c r="T10" s="584" t="s">
        <v>186</v>
      </c>
      <c r="U10" s="585" t="s">
        <v>187</v>
      </c>
      <c r="V10" s="584" t="s">
        <v>186</v>
      </c>
      <c r="W10" s="585" t="s">
        <v>187</v>
      </c>
      <c r="X10" s="584" t="s">
        <v>186</v>
      </c>
      <c r="Y10" s="585" t="s">
        <v>187</v>
      </c>
      <c r="Z10" s="584" t="s">
        <v>186</v>
      </c>
      <c r="AA10" s="585" t="s">
        <v>187</v>
      </c>
      <c r="AB10" s="586" t="s">
        <v>186</v>
      </c>
      <c r="AC10" s="587" t="s">
        <v>187</v>
      </c>
      <c r="AD10" s="586" t="s">
        <v>186</v>
      </c>
      <c r="AE10" s="587" t="s">
        <v>187</v>
      </c>
      <c r="AF10" s="586" t="s">
        <v>186</v>
      </c>
      <c r="AG10" s="587" t="s">
        <v>187</v>
      </c>
      <c r="AH10" s="586" t="s">
        <v>186</v>
      </c>
      <c r="AI10" s="587" t="s">
        <v>187</v>
      </c>
      <c r="AJ10" s="584" t="s">
        <v>186</v>
      </c>
      <c r="AK10" s="585" t="s">
        <v>187</v>
      </c>
      <c r="AL10" s="584" t="s">
        <v>186</v>
      </c>
      <c r="AM10" s="585" t="s">
        <v>187</v>
      </c>
      <c r="AN10" s="584" t="s">
        <v>186</v>
      </c>
      <c r="AO10" s="585" t="s">
        <v>187</v>
      </c>
      <c r="AP10" s="584" t="s">
        <v>186</v>
      </c>
      <c r="AQ10" s="585" t="s">
        <v>187</v>
      </c>
    </row>
    <row r="11" spans="1:43" s="595" customFormat="1" ht="14">
      <c r="A11" s="588" t="s">
        <v>142</v>
      </c>
      <c r="B11" s="589" t="s">
        <v>188</v>
      </c>
      <c r="C11" s="590" t="s">
        <v>214</v>
      </c>
      <c r="D11" s="591"/>
      <c r="E11" s="591"/>
      <c r="F11" s="592"/>
      <c r="G11" s="593">
        <f t="shared" ref="G11" si="0">SUM(G12:G16)</f>
        <v>14000</v>
      </c>
      <c r="H11" s="593">
        <f>SUM(H12:H16)</f>
        <v>27000</v>
      </c>
      <c r="I11" s="593"/>
      <c r="J11" s="593">
        <f t="shared" ref="J11" si="1">SUM(J12:J16)</f>
        <v>565000</v>
      </c>
      <c r="K11" s="593">
        <f>SUM(K12:K16)</f>
        <v>1080000</v>
      </c>
      <c r="L11" s="594">
        <f t="shared" ref="L11:P11" si="2">SUM(L12:L16)</f>
        <v>2500</v>
      </c>
      <c r="M11" s="594">
        <f t="shared" si="2"/>
        <v>100000</v>
      </c>
      <c r="N11" s="594">
        <f t="shared" si="2"/>
        <v>2500</v>
      </c>
      <c r="O11" s="594">
        <f t="shared" si="2"/>
        <v>100000</v>
      </c>
      <c r="P11" s="594">
        <f t="shared" si="2"/>
        <v>2500</v>
      </c>
      <c r="Q11" s="594">
        <f>SUM(Q12:Q16)</f>
        <v>100000</v>
      </c>
      <c r="R11" s="594">
        <f>SUM(R12:R16)</f>
        <v>7500</v>
      </c>
      <c r="S11" s="594">
        <f>SUM(S12:S16)</f>
        <v>300000</v>
      </c>
      <c r="T11" s="594">
        <f t="shared" ref="T11:AQ11" si="3">SUM(T12:T16)</f>
        <v>2500</v>
      </c>
      <c r="U11" s="594">
        <f t="shared" si="3"/>
        <v>100000</v>
      </c>
      <c r="V11" s="594">
        <f t="shared" si="3"/>
        <v>1500</v>
      </c>
      <c r="W11" s="594">
        <f t="shared" si="3"/>
        <v>60000</v>
      </c>
      <c r="X11" s="594">
        <f t="shared" si="3"/>
        <v>1500</v>
      </c>
      <c r="Y11" s="594">
        <f t="shared" si="3"/>
        <v>60000</v>
      </c>
      <c r="Z11" s="594">
        <f t="shared" si="3"/>
        <v>5500</v>
      </c>
      <c r="AA11" s="594">
        <f t="shared" si="3"/>
        <v>220000</v>
      </c>
      <c r="AB11" s="594">
        <f t="shared" si="3"/>
        <v>1500</v>
      </c>
      <c r="AC11" s="594">
        <f t="shared" si="3"/>
        <v>60000</v>
      </c>
      <c r="AD11" s="594">
        <f t="shared" si="3"/>
        <v>2500</v>
      </c>
      <c r="AE11" s="594">
        <f t="shared" si="3"/>
        <v>100000</v>
      </c>
      <c r="AF11" s="594">
        <f t="shared" si="3"/>
        <v>2500</v>
      </c>
      <c r="AG11" s="594">
        <f t="shared" si="3"/>
        <v>100000</v>
      </c>
      <c r="AH11" s="594">
        <f t="shared" si="3"/>
        <v>6500</v>
      </c>
      <c r="AI11" s="594">
        <f t="shared" si="3"/>
        <v>260000</v>
      </c>
      <c r="AJ11" s="594">
        <f t="shared" si="3"/>
        <v>2500</v>
      </c>
      <c r="AK11" s="594">
        <f t="shared" si="3"/>
        <v>100000</v>
      </c>
      <c r="AL11" s="594">
        <f t="shared" si="3"/>
        <v>2500</v>
      </c>
      <c r="AM11" s="594">
        <f t="shared" si="3"/>
        <v>100000</v>
      </c>
      <c r="AN11" s="594">
        <f t="shared" si="3"/>
        <v>2500</v>
      </c>
      <c r="AO11" s="594">
        <f t="shared" si="3"/>
        <v>100000</v>
      </c>
      <c r="AP11" s="594">
        <f t="shared" si="3"/>
        <v>7500</v>
      </c>
      <c r="AQ11" s="594">
        <f t="shared" si="3"/>
        <v>300000</v>
      </c>
    </row>
    <row r="12" spans="1:43" s="577" customFormat="1" ht="14">
      <c r="A12" s="596" t="s">
        <v>93</v>
      </c>
      <c r="B12" s="597"/>
      <c r="C12" s="598" t="s">
        <v>209</v>
      </c>
      <c r="D12" s="599" t="s">
        <v>189</v>
      </c>
      <c r="E12" s="599" t="s">
        <v>189</v>
      </c>
      <c r="F12" s="600"/>
      <c r="G12" s="601">
        <v>3000</v>
      </c>
      <c r="H12" s="602">
        <f>R12+Z12+AH12+AP12</f>
        <v>5400</v>
      </c>
      <c r="I12" s="603">
        <v>40</v>
      </c>
      <c r="J12" s="601">
        <f>G12*I12</f>
        <v>120000</v>
      </c>
      <c r="K12" s="601">
        <f>H12*I12</f>
        <v>216000</v>
      </c>
      <c r="L12" s="601">
        <v>500</v>
      </c>
      <c r="M12" s="604">
        <f>I12*L12</f>
        <v>20000</v>
      </c>
      <c r="N12" s="601">
        <v>500</v>
      </c>
      <c r="O12" s="604">
        <f>I12*N12</f>
        <v>20000</v>
      </c>
      <c r="P12" s="601">
        <v>500</v>
      </c>
      <c r="Q12" s="604">
        <f>I12*P12</f>
        <v>20000</v>
      </c>
      <c r="R12" s="604">
        <f>L12+N12+P12</f>
        <v>1500</v>
      </c>
      <c r="S12" s="605">
        <f>M12+O12+Q12</f>
        <v>60000</v>
      </c>
      <c r="T12" s="601">
        <v>500</v>
      </c>
      <c r="U12" s="604">
        <f>T12*I12</f>
        <v>20000</v>
      </c>
      <c r="V12" s="601">
        <v>300</v>
      </c>
      <c r="W12" s="604">
        <f>V12*I12</f>
        <v>12000</v>
      </c>
      <c r="X12" s="601">
        <v>300</v>
      </c>
      <c r="Y12" s="604">
        <f>X12*I12</f>
        <v>12000</v>
      </c>
      <c r="Z12" s="604">
        <f>T12+V12+X12</f>
        <v>1100</v>
      </c>
      <c r="AA12" s="606">
        <f>Z12*I12</f>
        <v>44000</v>
      </c>
      <c r="AB12" s="601">
        <v>300</v>
      </c>
      <c r="AC12" s="604">
        <f>AB12*I12</f>
        <v>12000</v>
      </c>
      <c r="AD12" s="601">
        <v>500</v>
      </c>
      <c r="AE12" s="604">
        <f>AD12*I12</f>
        <v>20000</v>
      </c>
      <c r="AF12" s="601">
        <v>500</v>
      </c>
      <c r="AG12" s="604">
        <f>AF12*I12</f>
        <v>20000</v>
      </c>
      <c r="AH12" s="604">
        <f>AB12+AD12+AF12</f>
        <v>1300</v>
      </c>
      <c r="AI12" s="607">
        <f>AH12*I12</f>
        <v>52000</v>
      </c>
      <c r="AJ12" s="601">
        <v>500</v>
      </c>
      <c r="AK12" s="604">
        <f>AJ12*I12</f>
        <v>20000</v>
      </c>
      <c r="AL12" s="601">
        <v>500</v>
      </c>
      <c r="AM12" s="604">
        <f>AL12*I12</f>
        <v>20000</v>
      </c>
      <c r="AN12" s="601">
        <v>500</v>
      </c>
      <c r="AO12" s="604">
        <f>AN12*I12</f>
        <v>20000</v>
      </c>
      <c r="AP12" s="604">
        <f>AJ12+AL12+AN12</f>
        <v>1500</v>
      </c>
      <c r="AQ12" s="608">
        <f>AP12*I12</f>
        <v>60000</v>
      </c>
    </row>
    <row r="13" spans="1:43" ht="14">
      <c r="A13" s="596" t="s">
        <v>104</v>
      </c>
      <c r="B13" s="597"/>
      <c r="C13" s="598" t="s">
        <v>210</v>
      </c>
      <c r="D13" s="599" t="s">
        <v>189</v>
      </c>
      <c r="E13" s="599" t="s">
        <v>189</v>
      </c>
      <c r="F13" s="609"/>
      <c r="G13" s="610">
        <v>5000</v>
      </c>
      <c r="H13" s="602">
        <f t="shared" ref="H13:H16" si="4">R13+Z13+AH13+AP13</f>
        <v>5400</v>
      </c>
      <c r="I13" s="603">
        <v>40</v>
      </c>
      <c r="J13" s="601">
        <f>G13*$I13</f>
        <v>200000</v>
      </c>
      <c r="K13" s="601">
        <f t="shared" ref="K13:K16" si="5">H13*I13</f>
        <v>216000</v>
      </c>
      <c r="L13" s="601">
        <v>500</v>
      </c>
      <c r="M13" s="604">
        <f t="shared" ref="M13:M16" si="6">I13*L13</f>
        <v>20000</v>
      </c>
      <c r="N13" s="601">
        <v>500</v>
      </c>
      <c r="O13" s="604">
        <f t="shared" ref="O13:O16" si="7">I13*N13</f>
        <v>20000</v>
      </c>
      <c r="P13" s="601">
        <v>500</v>
      </c>
      <c r="Q13" s="604">
        <f t="shared" ref="Q13:Q16" si="8">I13*P13</f>
        <v>20000</v>
      </c>
      <c r="R13" s="604">
        <f t="shared" ref="R13:S16" si="9">L13+N13+P13</f>
        <v>1500</v>
      </c>
      <c r="S13" s="605">
        <f t="shared" si="9"/>
        <v>60000</v>
      </c>
      <c r="T13" s="601">
        <v>500</v>
      </c>
      <c r="U13" s="604">
        <f t="shared" ref="U13:U16" si="10">T13*I13</f>
        <v>20000</v>
      </c>
      <c r="V13" s="601">
        <v>300</v>
      </c>
      <c r="W13" s="604">
        <f t="shared" ref="W13:W16" si="11">V13*I13</f>
        <v>12000</v>
      </c>
      <c r="X13" s="601">
        <v>300</v>
      </c>
      <c r="Y13" s="604">
        <f t="shared" ref="Y13:Y16" si="12">X13*I13</f>
        <v>12000</v>
      </c>
      <c r="Z13" s="604">
        <f t="shared" ref="Z13:Z16" si="13">T13+V13+X13</f>
        <v>1100</v>
      </c>
      <c r="AA13" s="606">
        <f t="shared" ref="AA13:AA16" si="14">Z13*I13</f>
        <v>44000</v>
      </c>
      <c r="AB13" s="601">
        <v>300</v>
      </c>
      <c r="AC13" s="604">
        <f t="shared" ref="AC13:AC16" si="15">AB13*I13</f>
        <v>12000</v>
      </c>
      <c r="AD13" s="601">
        <v>500</v>
      </c>
      <c r="AE13" s="604">
        <f t="shared" ref="AE13:AE16" si="16">AD13*I13</f>
        <v>20000</v>
      </c>
      <c r="AF13" s="601">
        <v>500</v>
      </c>
      <c r="AG13" s="604">
        <f t="shared" ref="AG13:AG16" si="17">AF13*I13</f>
        <v>20000</v>
      </c>
      <c r="AH13" s="604">
        <f t="shared" ref="AH13:AH16" si="18">AB13+AD13+AF13</f>
        <v>1300</v>
      </c>
      <c r="AI13" s="607">
        <f t="shared" ref="AI13:AI16" si="19">AH13*I13</f>
        <v>52000</v>
      </c>
      <c r="AJ13" s="601">
        <v>500</v>
      </c>
      <c r="AK13" s="604">
        <f t="shared" ref="AK13:AK16" si="20">AJ13*I13</f>
        <v>20000</v>
      </c>
      <c r="AL13" s="601">
        <v>500</v>
      </c>
      <c r="AM13" s="604">
        <f t="shared" ref="AM13:AM16" si="21">AL13*I13</f>
        <v>20000</v>
      </c>
      <c r="AN13" s="601">
        <v>500</v>
      </c>
      <c r="AO13" s="604">
        <f t="shared" ref="AO13:AO16" si="22">AN13*I13</f>
        <v>20000</v>
      </c>
      <c r="AP13" s="604">
        <f t="shared" ref="AP13:AP16" si="23">AJ13+AL13+AN13</f>
        <v>1500</v>
      </c>
      <c r="AQ13" s="608">
        <f t="shared" ref="AQ13:AQ16" si="24">AP13*I13</f>
        <v>60000</v>
      </c>
    </row>
    <row r="14" spans="1:43" ht="14">
      <c r="A14" s="596" t="s">
        <v>99</v>
      </c>
      <c r="B14" s="597"/>
      <c r="C14" s="598" t="s">
        <v>211</v>
      </c>
      <c r="D14" s="599" t="s">
        <v>189</v>
      </c>
      <c r="E14" s="599" t="s">
        <v>189</v>
      </c>
      <c r="F14" s="609"/>
      <c r="G14" s="610">
        <v>2000</v>
      </c>
      <c r="H14" s="602">
        <f t="shared" si="4"/>
        <v>5400</v>
      </c>
      <c r="I14" s="603">
        <v>45</v>
      </c>
      <c r="J14" s="601">
        <f>G14*$I14</f>
        <v>90000</v>
      </c>
      <c r="K14" s="601">
        <f t="shared" si="5"/>
        <v>243000</v>
      </c>
      <c r="L14" s="601">
        <v>500</v>
      </c>
      <c r="M14" s="604">
        <f t="shared" si="6"/>
        <v>22500</v>
      </c>
      <c r="N14" s="601">
        <v>500</v>
      </c>
      <c r="O14" s="604">
        <f t="shared" si="7"/>
        <v>22500</v>
      </c>
      <c r="P14" s="601">
        <v>500</v>
      </c>
      <c r="Q14" s="604">
        <f t="shared" si="8"/>
        <v>22500</v>
      </c>
      <c r="R14" s="604">
        <f t="shared" si="9"/>
        <v>1500</v>
      </c>
      <c r="S14" s="605">
        <f t="shared" si="9"/>
        <v>67500</v>
      </c>
      <c r="T14" s="601">
        <v>500</v>
      </c>
      <c r="U14" s="604">
        <f t="shared" si="10"/>
        <v>22500</v>
      </c>
      <c r="V14" s="601">
        <v>300</v>
      </c>
      <c r="W14" s="604">
        <f t="shared" si="11"/>
        <v>13500</v>
      </c>
      <c r="X14" s="601">
        <v>300</v>
      </c>
      <c r="Y14" s="604">
        <f t="shared" si="12"/>
        <v>13500</v>
      </c>
      <c r="Z14" s="604">
        <f t="shared" si="13"/>
        <v>1100</v>
      </c>
      <c r="AA14" s="606">
        <f t="shared" si="14"/>
        <v>49500</v>
      </c>
      <c r="AB14" s="601">
        <v>300</v>
      </c>
      <c r="AC14" s="604">
        <f t="shared" si="15"/>
        <v>13500</v>
      </c>
      <c r="AD14" s="601">
        <v>500</v>
      </c>
      <c r="AE14" s="604">
        <f t="shared" si="16"/>
        <v>22500</v>
      </c>
      <c r="AF14" s="601">
        <v>500</v>
      </c>
      <c r="AG14" s="604">
        <f t="shared" si="17"/>
        <v>22500</v>
      </c>
      <c r="AH14" s="604">
        <f t="shared" si="18"/>
        <v>1300</v>
      </c>
      <c r="AI14" s="607">
        <f t="shared" si="19"/>
        <v>58500</v>
      </c>
      <c r="AJ14" s="601">
        <v>500</v>
      </c>
      <c r="AK14" s="604">
        <f t="shared" si="20"/>
        <v>22500</v>
      </c>
      <c r="AL14" s="601">
        <v>500</v>
      </c>
      <c r="AM14" s="604">
        <f t="shared" si="21"/>
        <v>22500</v>
      </c>
      <c r="AN14" s="601">
        <v>500</v>
      </c>
      <c r="AO14" s="604">
        <f t="shared" si="22"/>
        <v>22500</v>
      </c>
      <c r="AP14" s="604">
        <f t="shared" si="23"/>
        <v>1500</v>
      </c>
      <c r="AQ14" s="608">
        <f t="shared" si="24"/>
        <v>67500</v>
      </c>
    </row>
    <row r="15" spans="1:43" s="577" customFormat="1" ht="14">
      <c r="A15" s="612">
        <v>1.4</v>
      </c>
      <c r="B15" s="613"/>
      <c r="C15" s="598" t="s">
        <v>212</v>
      </c>
      <c r="D15" s="614" t="s">
        <v>189</v>
      </c>
      <c r="E15" s="614" t="s">
        <v>189</v>
      </c>
      <c r="F15" s="600"/>
      <c r="G15" s="610">
        <v>1000</v>
      </c>
      <c r="H15" s="602">
        <f t="shared" si="4"/>
        <v>5400</v>
      </c>
      <c r="I15" s="603">
        <v>35</v>
      </c>
      <c r="J15" s="601">
        <f>G15*$I15</f>
        <v>35000</v>
      </c>
      <c r="K15" s="601">
        <f t="shared" si="5"/>
        <v>189000</v>
      </c>
      <c r="L15" s="601">
        <v>500</v>
      </c>
      <c r="M15" s="604">
        <f t="shared" si="6"/>
        <v>17500</v>
      </c>
      <c r="N15" s="601">
        <v>500</v>
      </c>
      <c r="O15" s="604">
        <f t="shared" si="7"/>
        <v>17500</v>
      </c>
      <c r="P15" s="601">
        <v>500</v>
      </c>
      <c r="Q15" s="604">
        <f t="shared" si="8"/>
        <v>17500</v>
      </c>
      <c r="R15" s="604">
        <f t="shared" si="9"/>
        <v>1500</v>
      </c>
      <c r="S15" s="605">
        <f t="shared" si="9"/>
        <v>52500</v>
      </c>
      <c r="T15" s="601">
        <v>500</v>
      </c>
      <c r="U15" s="604">
        <f t="shared" si="10"/>
        <v>17500</v>
      </c>
      <c r="V15" s="601">
        <v>300</v>
      </c>
      <c r="W15" s="604">
        <f t="shared" si="11"/>
        <v>10500</v>
      </c>
      <c r="X15" s="601">
        <v>300</v>
      </c>
      <c r="Y15" s="604">
        <f t="shared" si="12"/>
        <v>10500</v>
      </c>
      <c r="Z15" s="604">
        <f t="shared" si="13"/>
        <v>1100</v>
      </c>
      <c r="AA15" s="606">
        <f t="shared" si="14"/>
        <v>38500</v>
      </c>
      <c r="AB15" s="601">
        <v>300</v>
      </c>
      <c r="AC15" s="604">
        <f t="shared" si="15"/>
        <v>10500</v>
      </c>
      <c r="AD15" s="601">
        <v>500</v>
      </c>
      <c r="AE15" s="604">
        <f t="shared" si="16"/>
        <v>17500</v>
      </c>
      <c r="AF15" s="601">
        <v>500</v>
      </c>
      <c r="AG15" s="604">
        <f t="shared" si="17"/>
        <v>17500</v>
      </c>
      <c r="AH15" s="604">
        <f t="shared" si="18"/>
        <v>1300</v>
      </c>
      <c r="AI15" s="607">
        <f t="shared" si="19"/>
        <v>45500</v>
      </c>
      <c r="AJ15" s="601">
        <v>500</v>
      </c>
      <c r="AK15" s="604">
        <f t="shared" si="20"/>
        <v>17500</v>
      </c>
      <c r="AL15" s="601">
        <v>500</v>
      </c>
      <c r="AM15" s="604">
        <f t="shared" si="21"/>
        <v>17500</v>
      </c>
      <c r="AN15" s="601">
        <v>500</v>
      </c>
      <c r="AO15" s="604">
        <f t="shared" si="22"/>
        <v>17500</v>
      </c>
      <c r="AP15" s="604">
        <f t="shared" si="23"/>
        <v>1500</v>
      </c>
      <c r="AQ15" s="608">
        <f t="shared" si="24"/>
        <v>52500</v>
      </c>
    </row>
    <row r="16" spans="1:43" s="577" customFormat="1" ht="14">
      <c r="A16" s="612">
        <v>1.5</v>
      </c>
      <c r="B16" s="613"/>
      <c r="C16" s="598" t="s">
        <v>213</v>
      </c>
      <c r="D16" s="614" t="s">
        <v>189</v>
      </c>
      <c r="E16" s="614" t="s">
        <v>189</v>
      </c>
      <c r="F16" s="600"/>
      <c r="G16" s="610">
        <v>3000</v>
      </c>
      <c r="H16" s="602">
        <f t="shared" si="4"/>
        <v>5400</v>
      </c>
      <c r="I16" s="603">
        <v>40</v>
      </c>
      <c r="J16" s="601">
        <f>G16*$I16</f>
        <v>120000</v>
      </c>
      <c r="K16" s="601">
        <f t="shared" si="5"/>
        <v>216000</v>
      </c>
      <c r="L16" s="601">
        <v>500</v>
      </c>
      <c r="M16" s="604">
        <f t="shared" si="6"/>
        <v>20000</v>
      </c>
      <c r="N16" s="601">
        <v>500</v>
      </c>
      <c r="O16" s="604">
        <f t="shared" si="7"/>
        <v>20000</v>
      </c>
      <c r="P16" s="601">
        <v>500</v>
      </c>
      <c r="Q16" s="604">
        <f t="shared" si="8"/>
        <v>20000</v>
      </c>
      <c r="R16" s="604">
        <f t="shared" si="9"/>
        <v>1500</v>
      </c>
      <c r="S16" s="605">
        <f t="shared" si="9"/>
        <v>60000</v>
      </c>
      <c r="T16" s="601">
        <v>500</v>
      </c>
      <c r="U16" s="604">
        <f t="shared" si="10"/>
        <v>20000</v>
      </c>
      <c r="V16" s="601">
        <v>300</v>
      </c>
      <c r="W16" s="604">
        <f t="shared" si="11"/>
        <v>12000</v>
      </c>
      <c r="X16" s="601">
        <v>300</v>
      </c>
      <c r="Y16" s="604">
        <f t="shared" si="12"/>
        <v>12000</v>
      </c>
      <c r="Z16" s="604">
        <f t="shared" si="13"/>
        <v>1100</v>
      </c>
      <c r="AA16" s="606">
        <f t="shared" si="14"/>
        <v>44000</v>
      </c>
      <c r="AB16" s="601">
        <v>300</v>
      </c>
      <c r="AC16" s="604">
        <f t="shared" si="15"/>
        <v>12000</v>
      </c>
      <c r="AD16" s="601">
        <v>500</v>
      </c>
      <c r="AE16" s="604">
        <f t="shared" si="16"/>
        <v>20000</v>
      </c>
      <c r="AF16" s="601">
        <v>500</v>
      </c>
      <c r="AG16" s="604">
        <f t="shared" si="17"/>
        <v>20000</v>
      </c>
      <c r="AH16" s="604">
        <f t="shared" si="18"/>
        <v>1300</v>
      </c>
      <c r="AI16" s="607">
        <f t="shared" si="19"/>
        <v>52000</v>
      </c>
      <c r="AJ16" s="601">
        <v>500</v>
      </c>
      <c r="AK16" s="604">
        <f t="shared" si="20"/>
        <v>20000</v>
      </c>
      <c r="AL16" s="601">
        <v>500</v>
      </c>
      <c r="AM16" s="604">
        <f t="shared" si="21"/>
        <v>20000</v>
      </c>
      <c r="AN16" s="601">
        <v>500</v>
      </c>
      <c r="AO16" s="604">
        <f t="shared" si="22"/>
        <v>20000</v>
      </c>
      <c r="AP16" s="604">
        <f t="shared" si="23"/>
        <v>1500</v>
      </c>
      <c r="AQ16" s="608">
        <f t="shared" si="24"/>
        <v>60000</v>
      </c>
    </row>
    <row r="17" spans="1:43" s="595" customFormat="1" ht="14">
      <c r="A17" s="615" t="s">
        <v>190</v>
      </c>
      <c r="B17" s="616" t="s">
        <v>191</v>
      </c>
      <c r="C17" s="617" t="s">
        <v>219</v>
      </c>
      <c r="D17" s="618"/>
      <c r="E17" s="618"/>
      <c r="F17" s="619"/>
      <c r="G17" s="620">
        <f>SUM(G18:G22)</f>
        <v>27500</v>
      </c>
      <c r="H17" s="620">
        <f>SUM(H18:H22)</f>
        <v>28000</v>
      </c>
      <c r="I17" s="593"/>
      <c r="J17" s="593">
        <f t="shared" ref="J17:AQ17" si="25">SUM(J23:J23)</f>
        <v>1587500</v>
      </c>
      <c r="K17" s="593">
        <f t="shared" si="25"/>
        <v>2576000</v>
      </c>
      <c r="L17" s="594">
        <f t="shared" si="25"/>
        <v>2500</v>
      </c>
      <c r="M17" s="594">
        <f t="shared" si="25"/>
        <v>230000</v>
      </c>
      <c r="N17" s="594">
        <f t="shared" si="25"/>
        <v>2500</v>
      </c>
      <c r="O17" s="594">
        <f t="shared" si="25"/>
        <v>230000</v>
      </c>
      <c r="P17" s="594">
        <f t="shared" si="25"/>
        <v>2500</v>
      </c>
      <c r="Q17" s="594">
        <f t="shared" si="25"/>
        <v>230000</v>
      </c>
      <c r="R17" s="594">
        <f t="shared" si="25"/>
        <v>7500</v>
      </c>
      <c r="S17" s="594">
        <f t="shared" si="25"/>
        <v>690000</v>
      </c>
      <c r="T17" s="594">
        <f t="shared" si="25"/>
        <v>2500</v>
      </c>
      <c r="U17" s="594">
        <f t="shared" si="25"/>
        <v>230000</v>
      </c>
      <c r="V17" s="594">
        <f t="shared" si="25"/>
        <v>1500</v>
      </c>
      <c r="W17" s="594">
        <f t="shared" si="25"/>
        <v>138000</v>
      </c>
      <c r="X17" s="594">
        <f t="shared" si="25"/>
        <v>1500</v>
      </c>
      <c r="Y17" s="594">
        <f t="shared" si="25"/>
        <v>138000</v>
      </c>
      <c r="Z17" s="594">
        <f t="shared" si="25"/>
        <v>5500</v>
      </c>
      <c r="AA17" s="594">
        <f t="shared" si="25"/>
        <v>506000</v>
      </c>
      <c r="AB17" s="594">
        <f t="shared" si="25"/>
        <v>2500</v>
      </c>
      <c r="AC17" s="594">
        <f t="shared" si="25"/>
        <v>230000</v>
      </c>
      <c r="AD17" s="594">
        <f t="shared" si="25"/>
        <v>2500</v>
      </c>
      <c r="AE17" s="594">
        <f t="shared" si="25"/>
        <v>230000</v>
      </c>
      <c r="AF17" s="594">
        <f t="shared" si="25"/>
        <v>2500</v>
      </c>
      <c r="AG17" s="594">
        <f t="shared" si="25"/>
        <v>230000</v>
      </c>
      <c r="AH17" s="594">
        <f t="shared" si="25"/>
        <v>7500</v>
      </c>
      <c r="AI17" s="594">
        <f t="shared" si="25"/>
        <v>690000</v>
      </c>
      <c r="AJ17" s="594">
        <f t="shared" si="25"/>
        <v>2500</v>
      </c>
      <c r="AK17" s="594">
        <f t="shared" si="25"/>
        <v>230000</v>
      </c>
      <c r="AL17" s="594">
        <f t="shared" si="25"/>
        <v>2500</v>
      </c>
      <c r="AM17" s="594">
        <f t="shared" si="25"/>
        <v>230000</v>
      </c>
      <c r="AN17" s="594">
        <f t="shared" si="25"/>
        <v>2500</v>
      </c>
      <c r="AO17" s="594">
        <f t="shared" si="25"/>
        <v>230000</v>
      </c>
      <c r="AP17" s="594">
        <f t="shared" si="25"/>
        <v>7500</v>
      </c>
      <c r="AQ17" s="594">
        <f t="shared" si="25"/>
        <v>690000</v>
      </c>
    </row>
    <row r="18" spans="1:43" s="577" customFormat="1" ht="14">
      <c r="A18" s="596" t="s">
        <v>93</v>
      </c>
      <c r="B18" s="597"/>
      <c r="C18" s="598" t="s">
        <v>209</v>
      </c>
      <c r="D18" s="599" t="s">
        <v>189</v>
      </c>
      <c r="E18" s="599" t="s">
        <v>189</v>
      </c>
      <c r="F18" s="600"/>
      <c r="G18" s="601">
        <v>5000</v>
      </c>
      <c r="H18" s="602">
        <f>R18+Z18+AH18+AP18</f>
        <v>5600</v>
      </c>
      <c r="I18" s="603">
        <v>65</v>
      </c>
      <c r="J18" s="601">
        <f>G18*I18</f>
        <v>325000</v>
      </c>
      <c r="K18" s="601">
        <f>H18*I18</f>
        <v>364000</v>
      </c>
      <c r="L18" s="601">
        <v>500</v>
      </c>
      <c r="M18" s="604">
        <f>I18*L18</f>
        <v>32500</v>
      </c>
      <c r="N18" s="601">
        <v>500</v>
      </c>
      <c r="O18" s="604">
        <f>I18*N18</f>
        <v>32500</v>
      </c>
      <c r="P18" s="601">
        <v>500</v>
      </c>
      <c r="Q18" s="604">
        <f>I18*P18</f>
        <v>32500</v>
      </c>
      <c r="R18" s="604">
        <f>L18+N18+P18</f>
        <v>1500</v>
      </c>
      <c r="S18" s="605">
        <f>M18+O18+Q18</f>
        <v>97500</v>
      </c>
      <c r="T18" s="601">
        <v>500</v>
      </c>
      <c r="U18" s="604">
        <f>T18*I18</f>
        <v>32500</v>
      </c>
      <c r="V18" s="601">
        <v>300</v>
      </c>
      <c r="W18" s="604">
        <f>V18*I18</f>
        <v>19500</v>
      </c>
      <c r="X18" s="601">
        <v>300</v>
      </c>
      <c r="Y18" s="604">
        <f>X18*I18</f>
        <v>19500</v>
      </c>
      <c r="Z18" s="604">
        <f>T18+V18+X18</f>
        <v>1100</v>
      </c>
      <c r="AA18" s="606">
        <f>Z18*I18</f>
        <v>71500</v>
      </c>
      <c r="AB18" s="601">
        <v>500</v>
      </c>
      <c r="AC18" s="604">
        <f>AB18*I18</f>
        <v>32500</v>
      </c>
      <c r="AD18" s="601">
        <v>500</v>
      </c>
      <c r="AE18" s="604">
        <f>AD18*I18</f>
        <v>32500</v>
      </c>
      <c r="AF18" s="601">
        <v>500</v>
      </c>
      <c r="AG18" s="604">
        <f>AF18*I18</f>
        <v>32500</v>
      </c>
      <c r="AH18" s="604">
        <f>AB18+AD18+AF18</f>
        <v>1500</v>
      </c>
      <c r="AI18" s="607">
        <f>AH18*I18</f>
        <v>97500</v>
      </c>
      <c r="AJ18" s="601">
        <v>500</v>
      </c>
      <c r="AK18" s="604">
        <f>AJ18*I18</f>
        <v>32500</v>
      </c>
      <c r="AL18" s="601">
        <v>500</v>
      </c>
      <c r="AM18" s="604">
        <f>AL18*I18</f>
        <v>32500</v>
      </c>
      <c r="AN18" s="601">
        <v>500</v>
      </c>
      <c r="AO18" s="604">
        <f>AN18*I18</f>
        <v>32500</v>
      </c>
      <c r="AP18" s="604">
        <f>AJ18+AL18+AN18</f>
        <v>1500</v>
      </c>
      <c r="AQ18" s="608">
        <f>AP18*I18</f>
        <v>97500</v>
      </c>
    </row>
    <row r="19" spans="1:43" ht="14">
      <c r="A19" s="596" t="s">
        <v>104</v>
      </c>
      <c r="B19" s="597"/>
      <c r="C19" s="598" t="s">
        <v>210</v>
      </c>
      <c r="D19" s="599" t="s">
        <v>189</v>
      </c>
      <c r="E19" s="599" t="s">
        <v>189</v>
      </c>
      <c r="F19" s="609"/>
      <c r="G19" s="610">
        <v>10000</v>
      </c>
      <c r="H19" s="602">
        <f t="shared" ref="H19:H22" si="26">R19+Z19+AH19+AP19</f>
        <v>5600</v>
      </c>
      <c r="I19" s="603">
        <v>65</v>
      </c>
      <c r="J19" s="601">
        <f>G19*$I19</f>
        <v>650000</v>
      </c>
      <c r="K19" s="601">
        <f t="shared" ref="K19:K22" si="27">H19*I19</f>
        <v>364000</v>
      </c>
      <c r="L19" s="601">
        <v>500</v>
      </c>
      <c r="M19" s="604">
        <f t="shared" ref="M19:M22" si="28">I19*L19</f>
        <v>32500</v>
      </c>
      <c r="N19" s="601">
        <v>500</v>
      </c>
      <c r="O19" s="604">
        <f t="shared" ref="O19:O22" si="29">I19*N19</f>
        <v>32500</v>
      </c>
      <c r="P19" s="601">
        <v>500</v>
      </c>
      <c r="Q19" s="604">
        <f t="shared" ref="Q19:Q22" si="30">I19*P19</f>
        <v>32500</v>
      </c>
      <c r="R19" s="604">
        <f t="shared" ref="R19:R22" si="31">L19+N19+P19</f>
        <v>1500</v>
      </c>
      <c r="S19" s="605">
        <f t="shared" ref="S19:S22" si="32">M19+O19+Q19</f>
        <v>97500</v>
      </c>
      <c r="T19" s="601">
        <v>500</v>
      </c>
      <c r="U19" s="604">
        <f t="shared" ref="U19:U22" si="33">T19*I19</f>
        <v>32500</v>
      </c>
      <c r="V19" s="601">
        <v>300</v>
      </c>
      <c r="W19" s="604">
        <f t="shared" ref="W19:W22" si="34">V19*I19</f>
        <v>19500</v>
      </c>
      <c r="X19" s="601">
        <v>300</v>
      </c>
      <c r="Y19" s="604">
        <f t="shared" ref="Y19:Y22" si="35">X19*I19</f>
        <v>19500</v>
      </c>
      <c r="Z19" s="604">
        <f t="shared" ref="Z19:Z22" si="36">T19+V19+X19</f>
        <v>1100</v>
      </c>
      <c r="AA19" s="606">
        <f t="shared" ref="AA19:AA22" si="37">Z19*I19</f>
        <v>71500</v>
      </c>
      <c r="AB19" s="601">
        <v>500</v>
      </c>
      <c r="AC19" s="604">
        <f t="shared" ref="AC19:AC22" si="38">AB19*I19</f>
        <v>32500</v>
      </c>
      <c r="AD19" s="601">
        <v>500</v>
      </c>
      <c r="AE19" s="604">
        <f t="shared" ref="AE19:AE22" si="39">AD19*I19</f>
        <v>32500</v>
      </c>
      <c r="AF19" s="601">
        <v>500</v>
      </c>
      <c r="AG19" s="604">
        <f t="shared" ref="AG19:AG22" si="40">AF19*I19</f>
        <v>32500</v>
      </c>
      <c r="AH19" s="604">
        <f t="shared" ref="AH19:AH22" si="41">AB19+AD19+AF19</f>
        <v>1500</v>
      </c>
      <c r="AI19" s="607">
        <f t="shared" ref="AI19:AI22" si="42">AH19*I19</f>
        <v>97500</v>
      </c>
      <c r="AJ19" s="601">
        <v>500</v>
      </c>
      <c r="AK19" s="604">
        <f t="shared" ref="AK19:AK22" si="43">AJ19*I19</f>
        <v>32500</v>
      </c>
      <c r="AL19" s="601">
        <v>500</v>
      </c>
      <c r="AM19" s="604">
        <f t="shared" ref="AM19:AM22" si="44">AL19*I19</f>
        <v>32500</v>
      </c>
      <c r="AN19" s="601">
        <v>500</v>
      </c>
      <c r="AO19" s="604">
        <f t="shared" ref="AO19:AO22" si="45">AN19*I19</f>
        <v>32500</v>
      </c>
      <c r="AP19" s="604">
        <f t="shared" ref="AP19:AP22" si="46">AJ19+AL19+AN19</f>
        <v>1500</v>
      </c>
      <c r="AQ19" s="608">
        <f t="shared" ref="AQ19:AQ22" si="47">AP19*I19</f>
        <v>97500</v>
      </c>
    </row>
    <row r="20" spans="1:43" ht="14">
      <c r="A20" s="596" t="s">
        <v>99</v>
      </c>
      <c r="B20" s="597"/>
      <c r="C20" s="598" t="s">
        <v>211</v>
      </c>
      <c r="D20" s="599" t="s">
        <v>189</v>
      </c>
      <c r="E20" s="599" t="s">
        <v>189</v>
      </c>
      <c r="F20" s="609"/>
      <c r="G20" s="610">
        <v>4500</v>
      </c>
      <c r="H20" s="602">
        <f t="shared" si="26"/>
        <v>5600</v>
      </c>
      <c r="I20" s="603">
        <v>60</v>
      </c>
      <c r="J20" s="601">
        <f>G20*$I20</f>
        <v>270000</v>
      </c>
      <c r="K20" s="601">
        <f t="shared" si="27"/>
        <v>336000</v>
      </c>
      <c r="L20" s="601">
        <v>500</v>
      </c>
      <c r="M20" s="604">
        <f t="shared" si="28"/>
        <v>30000</v>
      </c>
      <c r="N20" s="601">
        <v>500</v>
      </c>
      <c r="O20" s="604">
        <f t="shared" si="29"/>
        <v>30000</v>
      </c>
      <c r="P20" s="601">
        <v>500</v>
      </c>
      <c r="Q20" s="604">
        <f t="shared" si="30"/>
        <v>30000</v>
      </c>
      <c r="R20" s="604">
        <f t="shared" si="31"/>
        <v>1500</v>
      </c>
      <c r="S20" s="605">
        <f t="shared" si="32"/>
        <v>90000</v>
      </c>
      <c r="T20" s="601">
        <v>500</v>
      </c>
      <c r="U20" s="604">
        <f t="shared" si="33"/>
        <v>30000</v>
      </c>
      <c r="V20" s="601">
        <v>300</v>
      </c>
      <c r="W20" s="604">
        <f t="shared" si="34"/>
        <v>18000</v>
      </c>
      <c r="X20" s="601">
        <v>300</v>
      </c>
      <c r="Y20" s="604">
        <f t="shared" si="35"/>
        <v>18000</v>
      </c>
      <c r="Z20" s="604">
        <f t="shared" si="36"/>
        <v>1100</v>
      </c>
      <c r="AA20" s="606">
        <f t="shared" si="37"/>
        <v>66000</v>
      </c>
      <c r="AB20" s="601">
        <v>500</v>
      </c>
      <c r="AC20" s="604">
        <f t="shared" si="38"/>
        <v>30000</v>
      </c>
      <c r="AD20" s="601">
        <v>500</v>
      </c>
      <c r="AE20" s="604">
        <f t="shared" si="39"/>
        <v>30000</v>
      </c>
      <c r="AF20" s="601">
        <v>500</v>
      </c>
      <c r="AG20" s="604">
        <f t="shared" si="40"/>
        <v>30000</v>
      </c>
      <c r="AH20" s="604">
        <f t="shared" si="41"/>
        <v>1500</v>
      </c>
      <c r="AI20" s="607">
        <f t="shared" si="42"/>
        <v>90000</v>
      </c>
      <c r="AJ20" s="601">
        <v>500</v>
      </c>
      <c r="AK20" s="604">
        <f t="shared" si="43"/>
        <v>30000</v>
      </c>
      <c r="AL20" s="601">
        <v>500</v>
      </c>
      <c r="AM20" s="604">
        <f t="shared" si="44"/>
        <v>30000</v>
      </c>
      <c r="AN20" s="601">
        <v>500</v>
      </c>
      <c r="AO20" s="604">
        <f t="shared" si="45"/>
        <v>30000</v>
      </c>
      <c r="AP20" s="604">
        <f t="shared" si="46"/>
        <v>1500</v>
      </c>
      <c r="AQ20" s="608">
        <f t="shared" si="47"/>
        <v>90000</v>
      </c>
    </row>
    <row r="21" spans="1:43" s="577" customFormat="1" ht="14">
      <c r="A21" s="612">
        <v>1.4</v>
      </c>
      <c r="B21" s="613"/>
      <c r="C21" s="598" t="s">
        <v>212</v>
      </c>
      <c r="D21" s="614" t="s">
        <v>189</v>
      </c>
      <c r="E21" s="614" t="s">
        <v>189</v>
      </c>
      <c r="F21" s="600"/>
      <c r="G21" s="610">
        <v>5000</v>
      </c>
      <c r="H21" s="602">
        <f t="shared" si="26"/>
        <v>5600</v>
      </c>
      <c r="I21" s="603">
        <v>70</v>
      </c>
      <c r="J21" s="601">
        <f>G21*$I21</f>
        <v>350000</v>
      </c>
      <c r="K21" s="601">
        <f t="shared" si="27"/>
        <v>392000</v>
      </c>
      <c r="L21" s="601">
        <v>500</v>
      </c>
      <c r="M21" s="604">
        <f t="shared" si="28"/>
        <v>35000</v>
      </c>
      <c r="N21" s="601">
        <v>500</v>
      </c>
      <c r="O21" s="604">
        <f t="shared" si="29"/>
        <v>35000</v>
      </c>
      <c r="P21" s="601">
        <v>500</v>
      </c>
      <c r="Q21" s="604">
        <f t="shared" si="30"/>
        <v>35000</v>
      </c>
      <c r="R21" s="604">
        <f t="shared" si="31"/>
        <v>1500</v>
      </c>
      <c r="S21" s="605">
        <f t="shared" si="32"/>
        <v>105000</v>
      </c>
      <c r="T21" s="601">
        <v>500</v>
      </c>
      <c r="U21" s="604">
        <f t="shared" si="33"/>
        <v>35000</v>
      </c>
      <c r="V21" s="601">
        <v>300</v>
      </c>
      <c r="W21" s="604">
        <f t="shared" si="34"/>
        <v>21000</v>
      </c>
      <c r="X21" s="601">
        <v>300</v>
      </c>
      <c r="Y21" s="604">
        <f t="shared" si="35"/>
        <v>21000</v>
      </c>
      <c r="Z21" s="604">
        <f t="shared" si="36"/>
        <v>1100</v>
      </c>
      <c r="AA21" s="606">
        <f t="shared" si="37"/>
        <v>77000</v>
      </c>
      <c r="AB21" s="601">
        <v>500</v>
      </c>
      <c r="AC21" s="604">
        <f t="shared" si="38"/>
        <v>35000</v>
      </c>
      <c r="AD21" s="601">
        <v>500</v>
      </c>
      <c r="AE21" s="604">
        <f t="shared" si="39"/>
        <v>35000</v>
      </c>
      <c r="AF21" s="601">
        <v>500</v>
      </c>
      <c r="AG21" s="604">
        <f t="shared" si="40"/>
        <v>35000</v>
      </c>
      <c r="AH21" s="604">
        <f t="shared" si="41"/>
        <v>1500</v>
      </c>
      <c r="AI21" s="607">
        <f t="shared" si="42"/>
        <v>105000</v>
      </c>
      <c r="AJ21" s="601">
        <v>500</v>
      </c>
      <c r="AK21" s="604">
        <f t="shared" si="43"/>
        <v>35000</v>
      </c>
      <c r="AL21" s="601">
        <v>500</v>
      </c>
      <c r="AM21" s="604">
        <f t="shared" si="44"/>
        <v>35000</v>
      </c>
      <c r="AN21" s="601">
        <v>500</v>
      </c>
      <c r="AO21" s="604">
        <f t="shared" si="45"/>
        <v>35000</v>
      </c>
      <c r="AP21" s="604">
        <f t="shared" si="46"/>
        <v>1500</v>
      </c>
      <c r="AQ21" s="608">
        <f t="shared" si="47"/>
        <v>105000</v>
      </c>
    </row>
    <row r="22" spans="1:43" s="577" customFormat="1" ht="14">
      <c r="A22" s="612">
        <v>1.5</v>
      </c>
      <c r="B22" s="613"/>
      <c r="C22" s="598" t="s">
        <v>213</v>
      </c>
      <c r="D22" s="614" t="s">
        <v>189</v>
      </c>
      <c r="E22" s="614" t="s">
        <v>189</v>
      </c>
      <c r="F22" s="600"/>
      <c r="G22" s="610">
        <v>3000</v>
      </c>
      <c r="H22" s="602">
        <f t="shared" si="26"/>
        <v>5600</v>
      </c>
      <c r="I22" s="603">
        <v>66</v>
      </c>
      <c r="J22" s="601">
        <f>G22*$I22</f>
        <v>198000</v>
      </c>
      <c r="K22" s="601">
        <f t="shared" si="27"/>
        <v>369600</v>
      </c>
      <c r="L22" s="601">
        <v>500</v>
      </c>
      <c r="M22" s="604">
        <f t="shared" si="28"/>
        <v>33000</v>
      </c>
      <c r="N22" s="601">
        <v>500</v>
      </c>
      <c r="O22" s="604">
        <f t="shared" si="29"/>
        <v>33000</v>
      </c>
      <c r="P22" s="601">
        <v>500</v>
      </c>
      <c r="Q22" s="604">
        <f t="shared" si="30"/>
        <v>33000</v>
      </c>
      <c r="R22" s="604">
        <f t="shared" si="31"/>
        <v>1500</v>
      </c>
      <c r="S22" s="605">
        <f t="shared" si="32"/>
        <v>99000</v>
      </c>
      <c r="T22" s="601">
        <v>500</v>
      </c>
      <c r="U22" s="604">
        <f t="shared" si="33"/>
        <v>33000</v>
      </c>
      <c r="V22" s="601">
        <v>300</v>
      </c>
      <c r="W22" s="604">
        <f t="shared" si="34"/>
        <v>19800</v>
      </c>
      <c r="X22" s="601">
        <v>300</v>
      </c>
      <c r="Y22" s="604">
        <f t="shared" si="35"/>
        <v>19800</v>
      </c>
      <c r="Z22" s="604">
        <f t="shared" si="36"/>
        <v>1100</v>
      </c>
      <c r="AA22" s="606">
        <f t="shared" si="37"/>
        <v>72600</v>
      </c>
      <c r="AB22" s="601">
        <v>500</v>
      </c>
      <c r="AC22" s="604">
        <f t="shared" si="38"/>
        <v>33000</v>
      </c>
      <c r="AD22" s="601">
        <v>500</v>
      </c>
      <c r="AE22" s="604">
        <f t="shared" si="39"/>
        <v>33000</v>
      </c>
      <c r="AF22" s="601">
        <v>500</v>
      </c>
      <c r="AG22" s="604">
        <f t="shared" si="40"/>
        <v>33000</v>
      </c>
      <c r="AH22" s="604">
        <f t="shared" si="41"/>
        <v>1500</v>
      </c>
      <c r="AI22" s="607">
        <f t="shared" si="42"/>
        <v>99000</v>
      </c>
      <c r="AJ22" s="601">
        <v>500</v>
      </c>
      <c r="AK22" s="604">
        <f t="shared" si="43"/>
        <v>33000</v>
      </c>
      <c r="AL22" s="601">
        <v>500</v>
      </c>
      <c r="AM22" s="604">
        <f t="shared" si="44"/>
        <v>33000</v>
      </c>
      <c r="AN22" s="601">
        <v>500</v>
      </c>
      <c r="AO22" s="604">
        <f t="shared" si="45"/>
        <v>33000</v>
      </c>
      <c r="AP22" s="604">
        <f t="shared" si="46"/>
        <v>1500</v>
      </c>
      <c r="AQ22" s="608">
        <f t="shared" si="47"/>
        <v>99000</v>
      </c>
    </row>
    <row r="23" spans="1:43" s="595" customFormat="1" ht="14">
      <c r="A23" s="615" t="s">
        <v>192</v>
      </c>
      <c r="B23" s="616" t="s">
        <v>193</v>
      </c>
      <c r="C23" s="617" t="s">
        <v>220</v>
      </c>
      <c r="D23" s="618"/>
      <c r="E23" s="618"/>
      <c r="F23" s="619"/>
      <c r="G23" s="620">
        <f>SUBTOTAL(9,G24:G27)</f>
        <v>13500</v>
      </c>
      <c r="H23" s="620">
        <f>SUBTOTAL(9,H24:H27)</f>
        <v>22400</v>
      </c>
      <c r="I23" s="593"/>
      <c r="J23" s="593">
        <f t="shared" ref="J23" si="48">SUM(J24:J28)</f>
        <v>1587500</v>
      </c>
      <c r="K23" s="593">
        <f>SUM(K24:K28)</f>
        <v>2576000</v>
      </c>
      <c r="L23" s="594">
        <f t="shared" ref="L23:P23" si="49">SUM(L24:L28)</f>
        <v>2500</v>
      </c>
      <c r="M23" s="594">
        <f t="shared" si="49"/>
        <v>230000</v>
      </c>
      <c r="N23" s="594">
        <f t="shared" si="49"/>
        <v>2500</v>
      </c>
      <c r="O23" s="594">
        <f t="shared" si="49"/>
        <v>230000</v>
      </c>
      <c r="P23" s="594">
        <f t="shared" si="49"/>
        <v>2500</v>
      </c>
      <c r="Q23" s="594">
        <f>SUM(Q24:Q28)</f>
        <v>230000</v>
      </c>
      <c r="R23" s="594">
        <f t="shared" ref="R23:AQ23" si="50">SUM(R24:R28)</f>
        <v>7500</v>
      </c>
      <c r="S23" s="594">
        <f t="shared" si="50"/>
        <v>690000</v>
      </c>
      <c r="T23" s="594">
        <f t="shared" si="50"/>
        <v>2500</v>
      </c>
      <c r="U23" s="594">
        <f t="shared" si="50"/>
        <v>230000</v>
      </c>
      <c r="V23" s="594">
        <f t="shared" si="50"/>
        <v>1500</v>
      </c>
      <c r="W23" s="594">
        <f t="shared" si="50"/>
        <v>138000</v>
      </c>
      <c r="X23" s="594">
        <f t="shared" si="50"/>
        <v>1500</v>
      </c>
      <c r="Y23" s="594">
        <f t="shared" si="50"/>
        <v>138000</v>
      </c>
      <c r="Z23" s="594">
        <f t="shared" si="50"/>
        <v>5500</v>
      </c>
      <c r="AA23" s="594">
        <f t="shared" si="50"/>
        <v>506000</v>
      </c>
      <c r="AB23" s="594">
        <f t="shared" si="50"/>
        <v>2500</v>
      </c>
      <c r="AC23" s="594">
        <f t="shared" si="50"/>
        <v>230000</v>
      </c>
      <c r="AD23" s="594">
        <f t="shared" si="50"/>
        <v>2500</v>
      </c>
      <c r="AE23" s="594">
        <f t="shared" si="50"/>
        <v>230000</v>
      </c>
      <c r="AF23" s="594">
        <f t="shared" si="50"/>
        <v>2500</v>
      </c>
      <c r="AG23" s="594">
        <f t="shared" si="50"/>
        <v>230000</v>
      </c>
      <c r="AH23" s="594">
        <f t="shared" si="50"/>
        <v>7500</v>
      </c>
      <c r="AI23" s="594">
        <f t="shared" si="50"/>
        <v>690000</v>
      </c>
      <c r="AJ23" s="594">
        <f t="shared" si="50"/>
        <v>2500</v>
      </c>
      <c r="AK23" s="594">
        <f t="shared" si="50"/>
        <v>230000</v>
      </c>
      <c r="AL23" s="594">
        <f t="shared" si="50"/>
        <v>2500</v>
      </c>
      <c r="AM23" s="594">
        <f t="shared" si="50"/>
        <v>230000</v>
      </c>
      <c r="AN23" s="594">
        <f t="shared" si="50"/>
        <v>2500</v>
      </c>
      <c r="AO23" s="594">
        <f t="shared" si="50"/>
        <v>230000</v>
      </c>
      <c r="AP23" s="594">
        <f t="shared" si="50"/>
        <v>7500</v>
      </c>
      <c r="AQ23" s="594">
        <f t="shared" si="50"/>
        <v>690000</v>
      </c>
    </row>
    <row r="24" spans="1:43" s="577" customFormat="1" ht="14">
      <c r="A24" s="596" t="s">
        <v>93</v>
      </c>
      <c r="B24" s="597"/>
      <c r="C24" s="598" t="s">
        <v>209</v>
      </c>
      <c r="D24" s="599" t="s">
        <v>189</v>
      </c>
      <c r="E24" s="599" t="s">
        <v>189</v>
      </c>
      <c r="F24" s="600"/>
      <c r="G24" s="601">
        <v>3000</v>
      </c>
      <c r="H24" s="602">
        <f>R24+Z24+AH24+AP24</f>
        <v>5600</v>
      </c>
      <c r="I24" s="603">
        <v>80</v>
      </c>
      <c r="J24" s="601">
        <f>G24*I24</f>
        <v>240000</v>
      </c>
      <c r="K24" s="601">
        <f>H24*I24</f>
        <v>448000</v>
      </c>
      <c r="L24" s="601">
        <v>500</v>
      </c>
      <c r="M24" s="604">
        <f>I24*L24</f>
        <v>40000</v>
      </c>
      <c r="N24" s="601">
        <v>500</v>
      </c>
      <c r="O24" s="604">
        <f>I24*N24</f>
        <v>40000</v>
      </c>
      <c r="P24" s="601">
        <v>500</v>
      </c>
      <c r="Q24" s="604">
        <f>I24*P24</f>
        <v>40000</v>
      </c>
      <c r="R24" s="604">
        <f>L24+N24+P24</f>
        <v>1500</v>
      </c>
      <c r="S24" s="605">
        <f>M24+O24+Q24</f>
        <v>120000</v>
      </c>
      <c r="T24" s="601">
        <v>500</v>
      </c>
      <c r="U24" s="604">
        <f>T24*I24</f>
        <v>40000</v>
      </c>
      <c r="V24" s="601">
        <v>300</v>
      </c>
      <c r="W24" s="604">
        <f>V24*I24</f>
        <v>24000</v>
      </c>
      <c r="X24" s="601">
        <v>300</v>
      </c>
      <c r="Y24" s="604">
        <f>X24*I24</f>
        <v>24000</v>
      </c>
      <c r="Z24" s="604">
        <f>T24+V24+X24</f>
        <v>1100</v>
      </c>
      <c r="AA24" s="606">
        <f>Z24*I24</f>
        <v>88000</v>
      </c>
      <c r="AB24" s="601">
        <v>500</v>
      </c>
      <c r="AC24" s="604">
        <f>AB24*I24</f>
        <v>40000</v>
      </c>
      <c r="AD24" s="601">
        <v>500</v>
      </c>
      <c r="AE24" s="604">
        <f>AD24*I24</f>
        <v>40000</v>
      </c>
      <c r="AF24" s="601">
        <v>500</v>
      </c>
      <c r="AG24" s="604">
        <f>AF24*I24</f>
        <v>40000</v>
      </c>
      <c r="AH24" s="604">
        <f>AB24+AD24+AF24</f>
        <v>1500</v>
      </c>
      <c r="AI24" s="607">
        <f>AH24*I24</f>
        <v>120000</v>
      </c>
      <c r="AJ24" s="601">
        <v>500</v>
      </c>
      <c r="AK24" s="604">
        <f>AJ24*I24</f>
        <v>40000</v>
      </c>
      <c r="AL24" s="601">
        <v>500</v>
      </c>
      <c r="AM24" s="604">
        <f>AL24*I24</f>
        <v>40000</v>
      </c>
      <c r="AN24" s="601">
        <v>500</v>
      </c>
      <c r="AO24" s="604">
        <f>AN24*I24</f>
        <v>40000</v>
      </c>
      <c r="AP24" s="604">
        <f>AJ24+AL24+AN24</f>
        <v>1500</v>
      </c>
      <c r="AQ24" s="608">
        <f>AP24*I24</f>
        <v>120000</v>
      </c>
    </row>
    <row r="25" spans="1:43" ht="14">
      <c r="A25" s="596" t="s">
        <v>104</v>
      </c>
      <c r="B25" s="597"/>
      <c r="C25" s="598" t="s">
        <v>210</v>
      </c>
      <c r="D25" s="599" t="s">
        <v>189</v>
      </c>
      <c r="E25" s="599" t="s">
        <v>189</v>
      </c>
      <c r="F25" s="609"/>
      <c r="G25" s="610">
        <v>6500</v>
      </c>
      <c r="H25" s="602">
        <f t="shared" ref="H25:H28" si="51">R25+Z25+AH25+AP25</f>
        <v>5600</v>
      </c>
      <c r="I25" s="603">
        <v>100</v>
      </c>
      <c r="J25" s="601">
        <f>G25*$I25</f>
        <v>650000</v>
      </c>
      <c r="K25" s="601">
        <f t="shared" ref="K25:K28" si="52">H25*I25</f>
        <v>560000</v>
      </c>
      <c r="L25" s="601">
        <v>500</v>
      </c>
      <c r="M25" s="604">
        <f t="shared" ref="M25:M28" si="53">I25*L25</f>
        <v>50000</v>
      </c>
      <c r="N25" s="601">
        <v>500</v>
      </c>
      <c r="O25" s="604">
        <f t="shared" ref="O25:O28" si="54">I25*N25</f>
        <v>50000</v>
      </c>
      <c r="P25" s="601">
        <v>500</v>
      </c>
      <c r="Q25" s="604">
        <f t="shared" ref="Q25:Q28" si="55">I25*P25</f>
        <v>50000</v>
      </c>
      <c r="R25" s="604">
        <f t="shared" ref="R25:R28" si="56">L25+N25+P25</f>
        <v>1500</v>
      </c>
      <c r="S25" s="605">
        <f t="shared" ref="S25:S28" si="57">M25+O25+Q25</f>
        <v>150000</v>
      </c>
      <c r="T25" s="601">
        <v>500</v>
      </c>
      <c r="U25" s="604">
        <f t="shared" ref="U25:U28" si="58">T25*I25</f>
        <v>50000</v>
      </c>
      <c r="V25" s="601">
        <v>300</v>
      </c>
      <c r="W25" s="604">
        <f t="shared" ref="W25:W28" si="59">V25*I25</f>
        <v>30000</v>
      </c>
      <c r="X25" s="601">
        <v>300</v>
      </c>
      <c r="Y25" s="604">
        <f t="shared" ref="Y25:Y28" si="60">X25*I25</f>
        <v>30000</v>
      </c>
      <c r="Z25" s="604">
        <f t="shared" ref="Z25:Z28" si="61">T25+V25+X25</f>
        <v>1100</v>
      </c>
      <c r="AA25" s="606">
        <f t="shared" ref="AA25:AA28" si="62">Z25*I25</f>
        <v>110000</v>
      </c>
      <c r="AB25" s="601">
        <v>500</v>
      </c>
      <c r="AC25" s="604">
        <f t="shared" ref="AC25:AC28" si="63">AB25*I25</f>
        <v>50000</v>
      </c>
      <c r="AD25" s="601">
        <v>500</v>
      </c>
      <c r="AE25" s="604">
        <f t="shared" ref="AE25:AE28" si="64">AD25*I25</f>
        <v>50000</v>
      </c>
      <c r="AF25" s="601">
        <v>500</v>
      </c>
      <c r="AG25" s="604">
        <f t="shared" ref="AG25:AG28" si="65">AF25*I25</f>
        <v>50000</v>
      </c>
      <c r="AH25" s="604">
        <f t="shared" ref="AH25:AH28" si="66">AB25+AD25+AF25</f>
        <v>1500</v>
      </c>
      <c r="AI25" s="607">
        <f t="shared" ref="AI25:AI28" si="67">AH25*I25</f>
        <v>150000</v>
      </c>
      <c r="AJ25" s="601">
        <v>500</v>
      </c>
      <c r="AK25" s="604">
        <f t="shared" ref="AK25:AK28" si="68">AJ25*I25</f>
        <v>50000</v>
      </c>
      <c r="AL25" s="601">
        <v>500</v>
      </c>
      <c r="AM25" s="604">
        <f t="shared" ref="AM25:AM28" si="69">AL25*I25</f>
        <v>50000</v>
      </c>
      <c r="AN25" s="601">
        <v>500</v>
      </c>
      <c r="AO25" s="604">
        <f t="shared" ref="AO25:AO28" si="70">AN25*I25</f>
        <v>50000</v>
      </c>
      <c r="AP25" s="604">
        <f t="shared" ref="AP25:AP28" si="71">AJ25+AL25+AN25</f>
        <v>1500</v>
      </c>
      <c r="AQ25" s="608">
        <f t="shared" ref="AQ25:AQ28" si="72">AP25*I25</f>
        <v>150000</v>
      </c>
    </row>
    <row r="26" spans="1:43" ht="14">
      <c r="A26" s="596" t="s">
        <v>99</v>
      </c>
      <c r="B26" s="597"/>
      <c r="C26" s="598" t="s">
        <v>211</v>
      </c>
      <c r="D26" s="599" t="s">
        <v>189</v>
      </c>
      <c r="E26" s="599" t="s">
        <v>189</v>
      </c>
      <c r="F26" s="609"/>
      <c r="G26" s="610">
        <v>3000</v>
      </c>
      <c r="H26" s="602">
        <f t="shared" si="51"/>
        <v>5600</v>
      </c>
      <c r="I26" s="603">
        <v>90</v>
      </c>
      <c r="J26" s="601">
        <f>G26*$I26</f>
        <v>270000</v>
      </c>
      <c r="K26" s="601">
        <f t="shared" si="52"/>
        <v>504000</v>
      </c>
      <c r="L26" s="601">
        <v>500</v>
      </c>
      <c r="M26" s="604">
        <f t="shared" si="53"/>
        <v>45000</v>
      </c>
      <c r="N26" s="601">
        <v>500</v>
      </c>
      <c r="O26" s="604">
        <f t="shared" si="54"/>
        <v>45000</v>
      </c>
      <c r="P26" s="601">
        <v>500</v>
      </c>
      <c r="Q26" s="604">
        <f t="shared" si="55"/>
        <v>45000</v>
      </c>
      <c r="R26" s="604">
        <f t="shared" si="56"/>
        <v>1500</v>
      </c>
      <c r="S26" s="605">
        <f t="shared" si="57"/>
        <v>135000</v>
      </c>
      <c r="T26" s="601">
        <v>500</v>
      </c>
      <c r="U26" s="604">
        <f t="shared" si="58"/>
        <v>45000</v>
      </c>
      <c r="V26" s="601">
        <v>300</v>
      </c>
      <c r="W26" s="604">
        <f t="shared" si="59"/>
        <v>27000</v>
      </c>
      <c r="X26" s="601">
        <v>300</v>
      </c>
      <c r="Y26" s="604">
        <f t="shared" si="60"/>
        <v>27000</v>
      </c>
      <c r="Z26" s="604">
        <f t="shared" si="61"/>
        <v>1100</v>
      </c>
      <c r="AA26" s="606">
        <f t="shared" si="62"/>
        <v>99000</v>
      </c>
      <c r="AB26" s="601">
        <v>500</v>
      </c>
      <c r="AC26" s="604">
        <f t="shared" si="63"/>
        <v>45000</v>
      </c>
      <c r="AD26" s="601">
        <v>500</v>
      </c>
      <c r="AE26" s="604">
        <f t="shared" si="64"/>
        <v>45000</v>
      </c>
      <c r="AF26" s="601">
        <v>500</v>
      </c>
      <c r="AG26" s="604">
        <f t="shared" si="65"/>
        <v>45000</v>
      </c>
      <c r="AH26" s="604">
        <f t="shared" si="66"/>
        <v>1500</v>
      </c>
      <c r="AI26" s="607">
        <f t="shared" si="67"/>
        <v>135000</v>
      </c>
      <c r="AJ26" s="601">
        <v>500</v>
      </c>
      <c r="AK26" s="604">
        <f t="shared" si="68"/>
        <v>45000</v>
      </c>
      <c r="AL26" s="601">
        <v>500</v>
      </c>
      <c r="AM26" s="604">
        <f t="shared" si="69"/>
        <v>45000</v>
      </c>
      <c r="AN26" s="601">
        <v>500</v>
      </c>
      <c r="AO26" s="604">
        <f t="shared" si="70"/>
        <v>45000</v>
      </c>
      <c r="AP26" s="604">
        <f t="shared" si="71"/>
        <v>1500</v>
      </c>
      <c r="AQ26" s="608">
        <f t="shared" si="72"/>
        <v>135000</v>
      </c>
    </row>
    <row r="27" spans="1:43" s="577" customFormat="1" ht="14">
      <c r="A27" s="612">
        <v>1.4</v>
      </c>
      <c r="B27" s="613"/>
      <c r="C27" s="598" t="s">
        <v>212</v>
      </c>
      <c r="D27" s="614" t="s">
        <v>189</v>
      </c>
      <c r="E27" s="614" t="s">
        <v>189</v>
      </c>
      <c r="F27" s="600"/>
      <c r="G27" s="610">
        <v>1000</v>
      </c>
      <c r="H27" s="602">
        <f t="shared" si="51"/>
        <v>5600</v>
      </c>
      <c r="I27" s="603">
        <v>95</v>
      </c>
      <c r="J27" s="601">
        <f>G27*$I27</f>
        <v>95000</v>
      </c>
      <c r="K27" s="601">
        <f t="shared" si="52"/>
        <v>532000</v>
      </c>
      <c r="L27" s="601">
        <v>500</v>
      </c>
      <c r="M27" s="604">
        <f t="shared" si="53"/>
        <v>47500</v>
      </c>
      <c r="N27" s="601">
        <v>500</v>
      </c>
      <c r="O27" s="604">
        <f t="shared" si="54"/>
        <v>47500</v>
      </c>
      <c r="P27" s="601">
        <v>500</v>
      </c>
      <c r="Q27" s="604">
        <f t="shared" si="55"/>
        <v>47500</v>
      </c>
      <c r="R27" s="604">
        <f t="shared" si="56"/>
        <v>1500</v>
      </c>
      <c r="S27" s="605">
        <f t="shared" si="57"/>
        <v>142500</v>
      </c>
      <c r="T27" s="601">
        <v>500</v>
      </c>
      <c r="U27" s="604">
        <f t="shared" si="58"/>
        <v>47500</v>
      </c>
      <c r="V27" s="601">
        <v>300</v>
      </c>
      <c r="W27" s="604">
        <f t="shared" si="59"/>
        <v>28500</v>
      </c>
      <c r="X27" s="601">
        <v>300</v>
      </c>
      <c r="Y27" s="604">
        <f t="shared" si="60"/>
        <v>28500</v>
      </c>
      <c r="Z27" s="604">
        <f t="shared" si="61"/>
        <v>1100</v>
      </c>
      <c r="AA27" s="606">
        <f t="shared" si="62"/>
        <v>104500</v>
      </c>
      <c r="AB27" s="601">
        <v>500</v>
      </c>
      <c r="AC27" s="604">
        <f t="shared" si="63"/>
        <v>47500</v>
      </c>
      <c r="AD27" s="601">
        <v>500</v>
      </c>
      <c r="AE27" s="604">
        <f t="shared" si="64"/>
        <v>47500</v>
      </c>
      <c r="AF27" s="601">
        <v>500</v>
      </c>
      <c r="AG27" s="604">
        <f t="shared" si="65"/>
        <v>47500</v>
      </c>
      <c r="AH27" s="604">
        <f t="shared" si="66"/>
        <v>1500</v>
      </c>
      <c r="AI27" s="607">
        <f t="shared" si="67"/>
        <v>142500</v>
      </c>
      <c r="AJ27" s="601">
        <v>500</v>
      </c>
      <c r="AK27" s="604">
        <f t="shared" si="68"/>
        <v>47500</v>
      </c>
      <c r="AL27" s="601">
        <v>500</v>
      </c>
      <c r="AM27" s="604">
        <f t="shared" si="69"/>
        <v>47500</v>
      </c>
      <c r="AN27" s="601">
        <v>500</v>
      </c>
      <c r="AO27" s="604">
        <f t="shared" si="70"/>
        <v>47500</v>
      </c>
      <c r="AP27" s="604">
        <f t="shared" si="71"/>
        <v>1500</v>
      </c>
      <c r="AQ27" s="608">
        <f t="shared" si="72"/>
        <v>142500</v>
      </c>
    </row>
    <row r="28" spans="1:43" s="577" customFormat="1" ht="14">
      <c r="A28" s="612">
        <v>1.5</v>
      </c>
      <c r="B28" s="613"/>
      <c r="C28" s="598" t="s">
        <v>213</v>
      </c>
      <c r="D28" s="614" t="s">
        <v>189</v>
      </c>
      <c r="E28" s="614" t="s">
        <v>189</v>
      </c>
      <c r="F28" s="600"/>
      <c r="G28" s="610">
        <v>3500</v>
      </c>
      <c r="H28" s="602">
        <f t="shared" si="51"/>
        <v>5600</v>
      </c>
      <c r="I28" s="603">
        <v>95</v>
      </c>
      <c r="J28" s="601">
        <f>G28*$I28</f>
        <v>332500</v>
      </c>
      <c r="K28" s="601">
        <f t="shared" si="52"/>
        <v>532000</v>
      </c>
      <c r="L28" s="601">
        <v>500</v>
      </c>
      <c r="M28" s="604">
        <f t="shared" si="53"/>
        <v>47500</v>
      </c>
      <c r="N28" s="601">
        <v>500</v>
      </c>
      <c r="O28" s="604">
        <f t="shared" si="54"/>
        <v>47500</v>
      </c>
      <c r="P28" s="601">
        <v>500</v>
      </c>
      <c r="Q28" s="604">
        <f t="shared" si="55"/>
        <v>47500</v>
      </c>
      <c r="R28" s="604">
        <f t="shared" si="56"/>
        <v>1500</v>
      </c>
      <c r="S28" s="605">
        <f t="shared" si="57"/>
        <v>142500</v>
      </c>
      <c r="T28" s="601">
        <v>500</v>
      </c>
      <c r="U28" s="604">
        <f t="shared" si="58"/>
        <v>47500</v>
      </c>
      <c r="V28" s="601">
        <v>300</v>
      </c>
      <c r="W28" s="604">
        <f t="shared" si="59"/>
        <v>28500</v>
      </c>
      <c r="X28" s="601">
        <v>300</v>
      </c>
      <c r="Y28" s="604">
        <f t="shared" si="60"/>
        <v>28500</v>
      </c>
      <c r="Z28" s="604">
        <f t="shared" si="61"/>
        <v>1100</v>
      </c>
      <c r="AA28" s="606">
        <f t="shared" si="62"/>
        <v>104500</v>
      </c>
      <c r="AB28" s="601">
        <v>500</v>
      </c>
      <c r="AC28" s="604">
        <f t="shared" si="63"/>
        <v>47500</v>
      </c>
      <c r="AD28" s="601">
        <v>500</v>
      </c>
      <c r="AE28" s="604">
        <f t="shared" si="64"/>
        <v>47500</v>
      </c>
      <c r="AF28" s="601">
        <v>500</v>
      </c>
      <c r="AG28" s="604">
        <f t="shared" si="65"/>
        <v>47500</v>
      </c>
      <c r="AH28" s="604">
        <f t="shared" si="66"/>
        <v>1500</v>
      </c>
      <c r="AI28" s="607">
        <f t="shared" si="67"/>
        <v>142500</v>
      </c>
      <c r="AJ28" s="601">
        <v>500</v>
      </c>
      <c r="AK28" s="604">
        <f t="shared" si="68"/>
        <v>47500</v>
      </c>
      <c r="AL28" s="601">
        <v>500</v>
      </c>
      <c r="AM28" s="604">
        <f t="shared" si="69"/>
        <v>47500</v>
      </c>
      <c r="AN28" s="601">
        <v>500</v>
      </c>
      <c r="AO28" s="604">
        <f t="shared" si="70"/>
        <v>47500</v>
      </c>
      <c r="AP28" s="604">
        <f t="shared" si="71"/>
        <v>1500</v>
      </c>
      <c r="AQ28" s="608">
        <f t="shared" si="72"/>
        <v>142500</v>
      </c>
    </row>
    <row r="29" spans="1:43" s="577" customFormat="1" ht="14">
      <c r="A29" s="621" t="s">
        <v>194</v>
      </c>
      <c r="B29" s="622" t="s">
        <v>195</v>
      </c>
      <c r="C29" s="617" t="s">
        <v>221</v>
      </c>
      <c r="D29" s="623"/>
      <c r="E29" s="623"/>
      <c r="F29" s="624"/>
      <c r="G29" s="625">
        <f>SUBTOTAL(9,G30:G35)</f>
        <v>38300</v>
      </c>
      <c r="H29" s="625">
        <f>SUBTOTAL(9,H30:H35)</f>
        <v>56000</v>
      </c>
      <c r="I29" s="593"/>
      <c r="J29" s="593">
        <f t="shared" ref="J29" si="73">SUM(J30:J34)</f>
        <v>1451000</v>
      </c>
      <c r="K29" s="593">
        <f>SUM(K30:K34)</f>
        <v>2335200</v>
      </c>
      <c r="L29" s="594">
        <f t="shared" ref="L29:P29" si="74">SUM(L30:L34)</f>
        <v>2500</v>
      </c>
      <c r="M29" s="594">
        <f t="shared" si="74"/>
        <v>208500</v>
      </c>
      <c r="N29" s="594">
        <f t="shared" si="74"/>
        <v>2500</v>
      </c>
      <c r="O29" s="594">
        <f t="shared" si="74"/>
        <v>208500</v>
      </c>
      <c r="P29" s="594">
        <f t="shared" si="74"/>
        <v>2500</v>
      </c>
      <c r="Q29" s="594">
        <f>SUM(Q30:Q34)</f>
        <v>208500</v>
      </c>
      <c r="R29" s="594">
        <f t="shared" ref="R29:AQ29" si="75">SUM(R30:R34)</f>
        <v>7500</v>
      </c>
      <c r="S29" s="594">
        <f t="shared" si="75"/>
        <v>625500</v>
      </c>
      <c r="T29" s="594">
        <f t="shared" si="75"/>
        <v>2500</v>
      </c>
      <c r="U29" s="594">
        <f t="shared" si="75"/>
        <v>208500</v>
      </c>
      <c r="V29" s="594">
        <f t="shared" si="75"/>
        <v>1500</v>
      </c>
      <c r="W29" s="594">
        <f t="shared" si="75"/>
        <v>125100</v>
      </c>
      <c r="X29" s="594">
        <f t="shared" si="75"/>
        <v>1500</v>
      </c>
      <c r="Y29" s="594">
        <f t="shared" si="75"/>
        <v>125100</v>
      </c>
      <c r="Z29" s="594">
        <f t="shared" si="75"/>
        <v>5500</v>
      </c>
      <c r="AA29" s="594">
        <f t="shared" si="75"/>
        <v>458700</v>
      </c>
      <c r="AB29" s="594">
        <f t="shared" si="75"/>
        <v>2500</v>
      </c>
      <c r="AC29" s="594">
        <f t="shared" si="75"/>
        <v>208500</v>
      </c>
      <c r="AD29" s="594">
        <f t="shared" si="75"/>
        <v>2500</v>
      </c>
      <c r="AE29" s="594">
        <f t="shared" si="75"/>
        <v>208500</v>
      </c>
      <c r="AF29" s="594">
        <f t="shared" si="75"/>
        <v>2500</v>
      </c>
      <c r="AG29" s="594">
        <f t="shared" si="75"/>
        <v>208500</v>
      </c>
      <c r="AH29" s="594">
        <f t="shared" si="75"/>
        <v>7500</v>
      </c>
      <c r="AI29" s="594">
        <f t="shared" si="75"/>
        <v>625500</v>
      </c>
      <c r="AJ29" s="594">
        <f t="shared" si="75"/>
        <v>2500</v>
      </c>
      <c r="AK29" s="594">
        <f t="shared" si="75"/>
        <v>208500</v>
      </c>
      <c r="AL29" s="594">
        <f t="shared" si="75"/>
        <v>2500</v>
      </c>
      <c r="AM29" s="594">
        <f t="shared" si="75"/>
        <v>208500</v>
      </c>
      <c r="AN29" s="594">
        <f t="shared" si="75"/>
        <v>2500</v>
      </c>
      <c r="AO29" s="594">
        <f t="shared" si="75"/>
        <v>208500</v>
      </c>
      <c r="AP29" s="594">
        <f t="shared" si="75"/>
        <v>7500</v>
      </c>
      <c r="AQ29" s="594">
        <f t="shared" si="75"/>
        <v>625500</v>
      </c>
    </row>
    <row r="30" spans="1:43" s="577" customFormat="1" ht="14">
      <c r="A30" s="596" t="s">
        <v>93</v>
      </c>
      <c r="B30" s="597"/>
      <c r="C30" s="598" t="s">
        <v>209</v>
      </c>
      <c r="D30" s="599" t="s">
        <v>189</v>
      </c>
      <c r="E30" s="599" t="s">
        <v>189</v>
      </c>
      <c r="F30" s="600"/>
      <c r="G30" s="601">
        <v>3000</v>
      </c>
      <c r="H30" s="602">
        <f>R30+Z30+AH30+AP30</f>
        <v>5600</v>
      </c>
      <c r="I30" s="603">
        <v>77</v>
      </c>
      <c r="J30" s="601">
        <f>G30*I30</f>
        <v>231000</v>
      </c>
      <c r="K30" s="601">
        <f>H30*I30</f>
        <v>431200</v>
      </c>
      <c r="L30" s="601">
        <v>500</v>
      </c>
      <c r="M30" s="604">
        <f>I30*L30</f>
        <v>38500</v>
      </c>
      <c r="N30" s="601">
        <v>500</v>
      </c>
      <c r="O30" s="604">
        <f>I30*N30</f>
        <v>38500</v>
      </c>
      <c r="P30" s="601">
        <v>500</v>
      </c>
      <c r="Q30" s="604">
        <f>I30*P30</f>
        <v>38500</v>
      </c>
      <c r="R30" s="604">
        <f>L30+N30+P30</f>
        <v>1500</v>
      </c>
      <c r="S30" s="605">
        <f>M30+O30+Q30</f>
        <v>115500</v>
      </c>
      <c r="T30" s="601">
        <v>500</v>
      </c>
      <c r="U30" s="604">
        <f>T30*I30</f>
        <v>38500</v>
      </c>
      <c r="V30" s="601">
        <v>300</v>
      </c>
      <c r="W30" s="604">
        <f>V30*I30</f>
        <v>23100</v>
      </c>
      <c r="X30" s="601">
        <v>300</v>
      </c>
      <c r="Y30" s="604">
        <f>X30*I30</f>
        <v>23100</v>
      </c>
      <c r="Z30" s="604">
        <f>T30+V30+X30</f>
        <v>1100</v>
      </c>
      <c r="AA30" s="606">
        <f>Z30*I30</f>
        <v>84700</v>
      </c>
      <c r="AB30" s="601">
        <v>500</v>
      </c>
      <c r="AC30" s="604">
        <f>AB30*I30</f>
        <v>38500</v>
      </c>
      <c r="AD30" s="601">
        <v>500</v>
      </c>
      <c r="AE30" s="604">
        <f>AD30*I30</f>
        <v>38500</v>
      </c>
      <c r="AF30" s="601">
        <v>500</v>
      </c>
      <c r="AG30" s="604">
        <f>AF30*I30</f>
        <v>38500</v>
      </c>
      <c r="AH30" s="604">
        <f>AB30+AD30+AF30</f>
        <v>1500</v>
      </c>
      <c r="AI30" s="607">
        <f>AH30*I30</f>
        <v>115500</v>
      </c>
      <c r="AJ30" s="601">
        <v>500</v>
      </c>
      <c r="AK30" s="604">
        <f>AJ30*I30</f>
        <v>38500</v>
      </c>
      <c r="AL30" s="601">
        <v>500</v>
      </c>
      <c r="AM30" s="604">
        <f>AL30*I30</f>
        <v>38500</v>
      </c>
      <c r="AN30" s="601">
        <v>500</v>
      </c>
      <c r="AO30" s="604">
        <f>AN30*I30</f>
        <v>38500</v>
      </c>
      <c r="AP30" s="604">
        <f>AJ30+AL30+AN30</f>
        <v>1500</v>
      </c>
      <c r="AQ30" s="608">
        <f>AP30*I30</f>
        <v>115500</v>
      </c>
    </row>
    <row r="31" spans="1:43" ht="14">
      <c r="A31" s="596" t="s">
        <v>104</v>
      </c>
      <c r="B31" s="597"/>
      <c r="C31" s="598" t="s">
        <v>210</v>
      </c>
      <c r="D31" s="599" t="s">
        <v>189</v>
      </c>
      <c r="E31" s="599" t="s">
        <v>189</v>
      </c>
      <c r="F31" s="609"/>
      <c r="G31" s="610">
        <v>6500</v>
      </c>
      <c r="H31" s="602">
        <f t="shared" ref="H31:H34" si="76">R31+Z31+AH31+AP31</f>
        <v>5600</v>
      </c>
      <c r="I31" s="603">
        <v>90</v>
      </c>
      <c r="J31" s="601">
        <f>G31*$I31</f>
        <v>585000</v>
      </c>
      <c r="K31" s="601">
        <f t="shared" ref="K31:K34" si="77">H31*I31</f>
        <v>504000</v>
      </c>
      <c r="L31" s="601">
        <v>500</v>
      </c>
      <c r="M31" s="604">
        <f t="shared" ref="M31:M34" si="78">I31*L31</f>
        <v>45000</v>
      </c>
      <c r="N31" s="601">
        <v>500</v>
      </c>
      <c r="O31" s="604">
        <f t="shared" ref="O31:O34" si="79">I31*N31</f>
        <v>45000</v>
      </c>
      <c r="P31" s="601">
        <v>500</v>
      </c>
      <c r="Q31" s="604">
        <f t="shared" ref="Q31:Q34" si="80">I31*P31</f>
        <v>45000</v>
      </c>
      <c r="R31" s="604">
        <f t="shared" ref="R31:R34" si="81">L31+N31+P31</f>
        <v>1500</v>
      </c>
      <c r="S31" s="605">
        <f t="shared" ref="S31:S34" si="82">M31+O31+Q31</f>
        <v>135000</v>
      </c>
      <c r="T31" s="601">
        <v>500</v>
      </c>
      <c r="U31" s="604">
        <f t="shared" ref="U31:U34" si="83">T31*I31</f>
        <v>45000</v>
      </c>
      <c r="V31" s="601">
        <v>300</v>
      </c>
      <c r="W31" s="604">
        <f t="shared" ref="W31:W34" si="84">V31*I31</f>
        <v>27000</v>
      </c>
      <c r="X31" s="601">
        <v>300</v>
      </c>
      <c r="Y31" s="604">
        <f t="shared" ref="Y31:Y34" si="85">X31*I31</f>
        <v>27000</v>
      </c>
      <c r="Z31" s="604">
        <f t="shared" ref="Z31:Z34" si="86">T31+V31+X31</f>
        <v>1100</v>
      </c>
      <c r="AA31" s="606">
        <f t="shared" ref="AA31:AA34" si="87">Z31*I31</f>
        <v>99000</v>
      </c>
      <c r="AB31" s="601">
        <v>500</v>
      </c>
      <c r="AC31" s="604">
        <f t="shared" ref="AC31:AC34" si="88">AB31*I31</f>
        <v>45000</v>
      </c>
      <c r="AD31" s="601">
        <v>500</v>
      </c>
      <c r="AE31" s="604">
        <f t="shared" ref="AE31:AE34" si="89">AD31*I31</f>
        <v>45000</v>
      </c>
      <c r="AF31" s="601">
        <v>500</v>
      </c>
      <c r="AG31" s="604">
        <f t="shared" ref="AG31:AG34" si="90">AF31*I31</f>
        <v>45000</v>
      </c>
      <c r="AH31" s="604">
        <f t="shared" ref="AH31:AH34" si="91">AB31+AD31+AF31</f>
        <v>1500</v>
      </c>
      <c r="AI31" s="607">
        <f t="shared" ref="AI31:AI34" si="92">AH31*I31</f>
        <v>135000</v>
      </c>
      <c r="AJ31" s="601">
        <v>500</v>
      </c>
      <c r="AK31" s="604">
        <f t="shared" ref="AK31:AK34" si="93">AJ31*I31</f>
        <v>45000</v>
      </c>
      <c r="AL31" s="601">
        <v>500</v>
      </c>
      <c r="AM31" s="604">
        <f t="shared" ref="AM31:AM34" si="94">AL31*I31</f>
        <v>45000</v>
      </c>
      <c r="AN31" s="601">
        <v>500</v>
      </c>
      <c r="AO31" s="604">
        <f t="shared" ref="AO31:AO34" si="95">AN31*I31</f>
        <v>45000</v>
      </c>
      <c r="AP31" s="604">
        <f t="shared" ref="AP31:AP34" si="96">AJ31+AL31+AN31</f>
        <v>1500</v>
      </c>
      <c r="AQ31" s="608">
        <f t="shared" ref="AQ31:AQ34" si="97">AP31*I31</f>
        <v>135000</v>
      </c>
    </row>
    <row r="32" spans="1:43" ht="14">
      <c r="A32" s="596" t="s">
        <v>99</v>
      </c>
      <c r="B32" s="597"/>
      <c r="C32" s="598" t="s">
        <v>211</v>
      </c>
      <c r="D32" s="599" t="s">
        <v>189</v>
      </c>
      <c r="E32" s="599" t="s">
        <v>189</v>
      </c>
      <c r="F32" s="609"/>
      <c r="G32" s="610">
        <v>3000</v>
      </c>
      <c r="H32" s="602">
        <f t="shared" si="76"/>
        <v>5600</v>
      </c>
      <c r="I32" s="603">
        <v>80</v>
      </c>
      <c r="J32" s="601">
        <f>G32*$I32</f>
        <v>240000</v>
      </c>
      <c r="K32" s="601">
        <f t="shared" si="77"/>
        <v>448000</v>
      </c>
      <c r="L32" s="601">
        <v>500</v>
      </c>
      <c r="M32" s="604">
        <f t="shared" si="78"/>
        <v>40000</v>
      </c>
      <c r="N32" s="601">
        <v>500</v>
      </c>
      <c r="O32" s="604">
        <f t="shared" si="79"/>
        <v>40000</v>
      </c>
      <c r="P32" s="601">
        <v>500</v>
      </c>
      <c r="Q32" s="604">
        <f t="shared" si="80"/>
        <v>40000</v>
      </c>
      <c r="R32" s="604">
        <f t="shared" si="81"/>
        <v>1500</v>
      </c>
      <c r="S32" s="605">
        <f t="shared" si="82"/>
        <v>120000</v>
      </c>
      <c r="T32" s="601">
        <v>500</v>
      </c>
      <c r="U32" s="604">
        <f t="shared" si="83"/>
        <v>40000</v>
      </c>
      <c r="V32" s="601">
        <v>300</v>
      </c>
      <c r="W32" s="604">
        <f t="shared" si="84"/>
        <v>24000</v>
      </c>
      <c r="X32" s="601">
        <v>300</v>
      </c>
      <c r="Y32" s="604">
        <f t="shared" si="85"/>
        <v>24000</v>
      </c>
      <c r="Z32" s="604">
        <f t="shared" si="86"/>
        <v>1100</v>
      </c>
      <c r="AA32" s="606">
        <f t="shared" si="87"/>
        <v>88000</v>
      </c>
      <c r="AB32" s="601">
        <v>500</v>
      </c>
      <c r="AC32" s="604">
        <f t="shared" si="88"/>
        <v>40000</v>
      </c>
      <c r="AD32" s="601">
        <v>500</v>
      </c>
      <c r="AE32" s="604">
        <f t="shared" si="89"/>
        <v>40000</v>
      </c>
      <c r="AF32" s="601">
        <v>500</v>
      </c>
      <c r="AG32" s="604">
        <f t="shared" si="90"/>
        <v>40000</v>
      </c>
      <c r="AH32" s="604">
        <f t="shared" si="91"/>
        <v>1500</v>
      </c>
      <c r="AI32" s="607">
        <f t="shared" si="92"/>
        <v>120000</v>
      </c>
      <c r="AJ32" s="601">
        <v>500</v>
      </c>
      <c r="AK32" s="604">
        <f t="shared" si="93"/>
        <v>40000</v>
      </c>
      <c r="AL32" s="601">
        <v>500</v>
      </c>
      <c r="AM32" s="604">
        <f t="shared" si="94"/>
        <v>40000</v>
      </c>
      <c r="AN32" s="601">
        <v>500</v>
      </c>
      <c r="AO32" s="604">
        <f t="shared" si="95"/>
        <v>40000</v>
      </c>
      <c r="AP32" s="604">
        <f t="shared" si="96"/>
        <v>1500</v>
      </c>
      <c r="AQ32" s="608">
        <f t="shared" si="97"/>
        <v>120000</v>
      </c>
    </row>
    <row r="33" spans="1:43" s="577" customFormat="1" ht="14">
      <c r="A33" s="612">
        <v>1.4</v>
      </c>
      <c r="B33" s="613"/>
      <c r="C33" s="598" t="s">
        <v>212</v>
      </c>
      <c r="D33" s="614" t="s">
        <v>189</v>
      </c>
      <c r="E33" s="614" t="s">
        <v>189</v>
      </c>
      <c r="F33" s="600"/>
      <c r="G33" s="610">
        <v>1000</v>
      </c>
      <c r="H33" s="602">
        <f t="shared" si="76"/>
        <v>5600</v>
      </c>
      <c r="I33" s="603">
        <v>80</v>
      </c>
      <c r="J33" s="601">
        <f>G33*$I33</f>
        <v>80000</v>
      </c>
      <c r="K33" s="601">
        <f t="shared" si="77"/>
        <v>448000</v>
      </c>
      <c r="L33" s="601">
        <v>500</v>
      </c>
      <c r="M33" s="604">
        <f t="shared" si="78"/>
        <v>40000</v>
      </c>
      <c r="N33" s="601">
        <v>500</v>
      </c>
      <c r="O33" s="604">
        <f t="shared" si="79"/>
        <v>40000</v>
      </c>
      <c r="P33" s="601">
        <v>500</v>
      </c>
      <c r="Q33" s="604">
        <f t="shared" si="80"/>
        <v>40000</v>
      </c>
      <c r="R33" s="604">
        <f t="shared" si="81"/>
        <v>1500</v>
      </c>
      <c r="S33" s="605">
        <f t="shared" si="82"/>
        <v>120000</v>
      </c>
      <c r="T33" s="601">
        <v>500</v>
      </c>
      <c r="U33" s="604">
        <f t="shared" si="83"/>
        <v>40000</v>
      </c>
      <c r="V33" s="601">
        <v>300</v>
      </c>
      <c r="W33" s="604">
        <f t="shared" si="84"/>
        <v>24000</v>
      </c>
      <c r="X33" s="601">
        <v>300</v>
      </c>
      <c r="Y33" s="604">
        <f t="shared" si="85"/>
        <v>24000</v>
      </c>
      <c r="Z33" s="604">
        <f t="shared" si="86"/>
        <v>1100</v>
      </c>
      <c r="AA33" s="606">
        <f t="shared" si="87"/>
        <v>88000</v>
      </c>
      <c r="AB33" s="601">
        <v>500</v>
      </c>
      <c r="AC33" s="604">
        <f t="shared" si="88"/>
        <v>40000</v>
      </c>
      <c r="AD33" s="601">
        <v>500</v>
      </c>
      <c r="AE33" s="604">
        <f t="shared" si="89"/>
        <v>40000</v>
      </c>
      <c r="AF33" s="601">
        <v>500</v>
      </c>
      <c r="AG33" s="604">
        <f t="shared" si="90"/>
        <v>40000</v>
      </c>
      <c r="AH33" s="604">
        <f t="shared" si="91"/>
        <v>1500</v>
      </c>
      <c r="AI33" s="607">
        <f t="shared" si="92"/>
        <v>120000</v>
      </c>
      <c r="AJ33" s="601">
        <v>500</v>
      </c>
      <c r="AK33" s="604">
        <f t="shared" si="93"/>
        <v>40000</v>
      </c>
      <c r="AL33" s="601">
        <v>500</v>
      </c>
      <c r="AM33" s="604">
        <f t="shared" si="94"/>
        <v>40000</v>
      </c>
      <c r="AN33" s="601">
        <v>500</v>
      </c>
      <c r="AO33" s="604">
        <f t="shared" si="95"/>
        <v>40000</v>
      </c>
      <c r="AP33" s="604">
        <f t="shared" si="96"/>
        <v>1500</v>
      </c>
      <c r="AQ33" s="608">
        <f t="shared" si="97"/>
        <v>120000</v>
      </c>
    </row>
    <row r="34" spans="1:43" s="577" customFormat="1" ht="14">
      <c r="A34" s="612">
        <v>1.5</v>
      </c>
      <c r="B34" s="613"/>
      <c r="C34" s="598" t="s">
        <v>213</v>
      </c>
      <c r="D34" s="614" t="s">
        <v>189</v>
      </c>
      <c r="E34" s="614" t="s">
        <v>189</v>
      </c>
      <c r="F34" s="600"/>
      <c r="G34" s="610">
        <v>3500</v>
      </c>
      <c r="H34" s="602">
        <f t="shared" si="76"/>
        <v>5600</v>
      </c>
      <c r="I34" s="603">
        <v>90</v>
      </c>
      <c r="J34" s="601">
        <f>G34*$I34</f>
        <v>315000</v>
      </c>
      <c r="K34" s="601">
        <f t="shared" si="77"/>
        <v>504000</v>
      </c>
      <c r="L34" s="601">
        <v>500</v>
      </c>
      <c r="M34" s="604">
        <f t="shared" si="78"/>
        <v>45000</v>
      </c>
      <c r="N34" s="601">
        <v>500</v>
      </c>
      <c r="O34" s="604">
        <f t="shared" si="79"/>
        <v>45000</v>
      </c>
      <c r="P34" s="601">
        <v>500</v>
      </c>
      <c r="Q34" s="604">
        <f t="shared" si="80"/>
        <v>45000</v>
      </c>
      <c r="R34" s="604">
        <f t="shared" si="81"/>
        <v>1500</v>
      </c>
      <c r="S34" s="605">
        <f t="shared" si="82"/>
        <v>135000</v>
      </c>
      <c r="T34" s="601">
        <v>500</v>
      </c>
      <c r="U34" s="604">
        <f t="shared" si="83"/>
        <v>45000</v>
      </c>
      <c r="V34" s="601">
        <v>300</v>
      </c>
      <c r="W34" s="604">
        <f t="shared" si="84"/>
        <v>27000</v>
      </c>
      <c r="X34" s="601">
        <v>300</v>
      </c>
      <c r="Y34" s="604">
        <f t="shared" si="85"/>
        <v>27000</v>
      </c>
      <c r="Z34" s="604">
        <f t="shared" si="86"/>
        <v>1100</v>
      </c>
      <c r="AA34" s="606">
        <f t="shared" si="87"/>
        <v>99000</v>
      </c>
      <c r="AB34" s="601">
        <v>500</v>
      </c>
      <c r="AC34" s="604">
        <f t="shared" si="88"/>
        <v>45000</v>
      </c>
      <c r="AD34" s="601">
        <v>500</v>
      </c>
      <c r="AE34" s="604">
        <f t="shared" si="89"/>
        <v>45000</v>
      </c>
      <c r="AF34" s="601">
        <v>500</v>
      </c>
      <c r="AG34" s="604">
        <f t="shared" si="90"/>
        <v>45000</v>
      </c>
      <c r="AH34" s="604">
        <f t="shared" si="91"/>
        <v>1500</v>
      </c>
      <c r="AI34" s="607">
        <f t="shared" si="92"/>
        <v>135000</v>
      </c>
      <c r="AJ34" s="601">
        <v>500</v>
      </c>
      <c r="AK34" s="604">
        <f t="shared" si="93"/>
        <v>45000</v>
      </c>
      <c r="AL34" s="601">
        <v>500</v>
      </c>
      <c r="AM34" s="604">
        <f t="shared" si="94"/>
        <v>45000</v>
      </c>
      <c r="AN34" s="601">
        <v>500</v>
      </c>
      <c r="AO34" s="604">
        <f t="shared" si="95"/>
        <v>45000</v>
      </c>
      <c r="AP34" s="604">
        <f t="shared" si="96"/>
        <v>1500</v>
      </c>
      <c r="AQ34" s="608">
        <f t="shared" si="97"/>
        <v>135000</v>
      </c>
    </row>
    <row r="35" spans="1:43" s="577" customFormat="1" ht="14">
      <c r="A35" s="621" t="s">
        <v>196</v>
      </c>
      <c r="B35" s="622" t="s">
        <v>197</v>
      </c>
      <c r="C35" s="626" t="s">
        <v>222</v>
      </c>
      <c r="D35" s="623"/>
      <c r="E35" s="623"/>
      <c r="F35" s="624"/>
      <c r="G35" s="625">
        <f>SUM(G36:G40)</f>
        <v>21300</v>
      </c>
      <c r="H35" s="625">
        <f>SUM(H36:H40)</f>
        <v>28000</v>
      </c>
      <c r="I35" s="594"/>
      <c r="J35" s="594">
        <f>SUM(J36:J40)</f>
        <v>1134000</v>
      </c>
      <c r="K35" s="594">
        <f t="shared" ref="K35:R35" si="98">SUM(K36:K40)</f>
        <v>1484000</v>
      </c>
      <c r="L35" s="594">
        <f t="shared" si="98"/>
        <v>2500</v>
      </c>
      <c r="M35" s="594">
        <f t="shared" si="98"/>
        <v>132500</v>
      </c>
      <c r="N35" s="594">
        <f t="shared" si="98"/>
        <v>2500</v>
      </c>
      <c r="O35" s="594">
        <f t="shared" si="98"/>
        <v>132500</v>
      </c>
      <c r="P35" s="594">
        <f t="shared" si="98"/>
        <v>2500</v>
      </c>
      <c r="Q35" s="594">
        <f t="shared" si="98"/>
        <v>132500</v>
      </c>
      <c r="R35" s="594">
        <f t="shared" si="98"/>
        <v>7500</v>
      </c>
      <c r="S35" s="594">
        <f>SUM(S36:S40)</f>
        <v>397500</v>
      </c>
      <c r="T35" s="594">
        <f t="shared" ref="T35" si="99">SUM(T36:T40)</f>
        <v>2500</v>
      </c>
      <c r="U35" s="594">
        <f t="shared" ref="U35:V35" si="100">SUM(U36:U40)</f>
        <v>132500</v>
      </c>
      <c r="V35" s="594">
        <f t="shared" si="100"/>
        <v>1500</v>
      </c>
      <c r="W35" s="594">
        <f t="shared" ref="W35" si="101">SUM(W36:W40)</f>
        <v>79500</v>
      </c>
      <c r="X35" s="594">
        <f t="shared" ref="X35" si="102">SUM(X36:X40)</f>
        <v>1500</v>
      </c>
      <c r="Y35" s="594">
        <f t="shared" ref="Y35" si="103">SUM(Y36:Y40)</f>
        <v>79500</v>
      </c>
      <c r="Z35" s="594">
        <f t="shared" ref="Z35" si="104">SUM(Z36:Z40)</f>
        <v>5500</v>
      </c>
      <c r="AA35" s="594">
        <f t="shared" ref="AA35" si="105">SUM(AA36:AA40)</f>
        <v>291500</v>
      </c>
      <c r="AB35" s="594">
        <f t="shared" ref="AB35" si="106">SUM(AB36:AB40)</f>
        <v>2500</v>
      </c>
      <c r="AC35" s="594">
        <f t="shared" ref="AC35" si="107">SUM(AC36:AC40)</f>
        <v>132500</v>
      </c>
      <c r="AD35" s="594">
        <f t="shared" ref="AD35:AE35" si="108">SUM(AD36:AD40)</f>
        <v>2500</v>
      </c>
      <c r="AE35" s="594">
        <f t="shared" si="108"/>
        <v>132500</v>
      </c>
      <c r="AF35" s="594">
        <f t="shared" ref="AF35" si="109">SUM(AF36:AF40)</f>
        <v>2500</v>
      </c>
      <c r="AG35" s="594">
        <f t="shared" ref="AG35:AH35" si="110">SUM(AG36:AG40)</f>
        <v>132500</v>
      </c>
      <c r="AH35" s="594">
        <f t="shared" si="110"/>
        <v>7500</v>
      </c>
      <c r="AI35" s="594">
        <f t="shared" ref="AI35" si="111">SUM(AI36:AI40)</f>
        <v>397500</v>
      </c>
      <c r="AJ35" s="594">
        <f t="shared" ref="AJ35" si="112">SUM(AJ36:AJ40)</f>
        <v>2500</v>
      </c>
      <c r="AK35" s="594">
        <f t="shared" ref="AK35" si="113">SUM(AK36:AK40)</f>
        <v>132500</v>
      </c>
      <c r="AL35" s="594">
        <f>SUM(AL36:AL40)</f>
        <v>2500</v>
      </c>
      <c r="AM35" s="594">
        <f t="shared" ref="AM35" si="114">SUM(AM36:AM40)</f>
        <v>132500</v>
      </c>
      <c r="AN35" s="594">
        <f t="shared" ref="AN35" si="115">SUM(AN36:AN40)</f>
        <v>2500</v>
      </c>
      <c r="AO35" s="594">
        <f t="shared" ref="AO35" si="116">SUM(AO36:AO40)</f>
        <v>132500</v>
      </c>
      <c r="AP35" s="594">
        <f>SUM(AP36:AP40)</f>
        <v>7500</v>
      </c>
      <c r="AQ35" s="594">
        <f t="shared" ref="AQ35" si="117">SUM(AQ36:AQ40)</f>
        <v>397500</v>
      </c>
    </row>
    <row r="36" spans="1:43" s="577" customFormat="1" ht="14">
      <c r="A36" s="596" t="s">
        <v>93</v>
      </c>
      <c r="B36" s="597"/>
      <c r="C36" s="598" t="s">
        <v>209</v>
      </c>
      <c r="D36" s="599" t="s">
        <v>189</v>
      </c>
      <c r="E36" s="599" t="s">
        <v>189</v>
      </c>
      <c r="F36" s="600"/>
      <c r="G36" s="601">
        <v>3000</v>
      </c>
      <c r="H36" s="602">
        <f>R36+Z36+AH36+AP36</f>
        <v>5600</v>
      </c>
      <c r="I36" s="603">
        <v>50</v>
      </c>
      <c r="J36" s="601">
        <f>G36*I36</f>
        <v>150000</v>
      </c>
      <c r="K36" s="601">
        <f>H36*I36</f>
        <v>280000</v>
      </c>
      <c r="L36" s="601">
        <v>500</v>
      </c>
      <c r="M36" s="604">
        <f>I36*L36</f>
        <v>25000</v>
      </c>
      <c r="N36" s="601">
        <v>500</v>
      </c>
      <c r="O36" s="604">
        <f>I36*N36</f>
        <v>25000</v>
      </c>
      <c r="P36" s="601">
        <v>500</v>
      </c>
      <c r="Q36" s="604">
        <f>I36*P36</f>
        <v>25000</v>
      </c>
      <c r="R36" s="604">
        <f>L36+N36+P36</f>
        <v>1500</v>
      </c>
      <c r="S36" s="605">
        <f>M36+O36+Q36</f>
        <v>75000</v>
      </c>
      <c r="T36" s="601">
        <v>500</v>
      </c>
      <c r="U36" s="604">
        <f>T36*I36</f>
        <v>25000</v>
      </c>
      <c r="V36" s="601">
        <v>300</v>
      </c>
      <c r="W36" s="604">
        <f>V36*I36</f>
        <v>15000</v>
      </c>
      <c r="X36" s="601">
        <v>300</v>
      </c>
      <c r="Y36" s="604">
        <f>X36*I36</f>
        <v>15000</v>
      </c>
      <c r="Z36" s="604">
        <f>T36+V36+X36</f>
        <v>1100</v>
      </c>
      <c r="AA36" s="606">
        <f>Z36*I36</f>
        <v>55000</v>
      </c>
      <c r="AB36" s="601">
        <v>500</v>
      </c>
      <c r="AC36" s="604">
        <f>AB36*I36</f>
        <v>25000</v>
      </c>
      <c r="AD36" s="601">
        <v>500</v>
      </c>
      <c r="AE36" s="604">
        <f>AD36*I36</f>
        <v>25000</v>
      </c>
      <c r="AF36" s="601">
        <v>500</v>
      </c>
      <c r="AG36" s="604">
        <f>AF36*I36</f>
        <v>25000</v>
      </c>
      <c r="AH36" s="604">
        <f>AB36+AD36+AF36</f>
        <v>1500</v>
      </c>
      <c r="AI36" s="607">
        <f>AH36*I36</f>
        <v>75000</v>
      </c>
      <c r="AJ36" s="601">
        <v>500</v>
      </c>
      <c r="AK36" s="604">
        <f>AJ36*I36</f>
        <v>25000</v>
      </c>
      <c r="AL36" s="601">
        <v>500</v>
      </c>
      <c r="AM36" s="604">
        <f>AL36*I36</f>
        <v>25000</v>
      </c>
      <c r="AN36" s="601">
        <v>500</v>
      </c>
      <c r="AO36" s="604">
        <f>AN36*I36</f>
        <v>25000</v>
      </c>
      <c r="AP36" s="604">
        <f>AJ36+AL36+AN36</f>
        <v>1500</v>
      </c>
      <c r="AQ36" s="608">
        <f>AP36*I36</f>
        <v>75000</v>
      </c>
    </row>
    <row r="37" spans="1:43" ht="14">
      <c r="A37" s="596" t="s">
        <v>104</v>
      </c>
      <c r="B37" s="597"/>
      <c r="C37" s="598" t="s">
        <v>210</v>
      </c>
      <c r="D37" s="599" t="s">
        <v>189</v>
      </c>
      <c r="E37" s="599" t="s">
        <v>189</v>
      </c>
      <c r="F37" s="609"/>
      <c r="G37" s="610">
        <v>6500</v>
      </c>
      <c r="H37" s="602">
        <f t="shared" ref="H37:H40" si="118">R37+Z37+AH37+AP37</f>
        <v>5600</v>
      </c>
      <c r="I37" s="603">
        <v>55</v>
      </c>
      <c r="J37" s="601">
        <f>G37*$I37</f>
        <v>357500</v>
      </c>
      <c r="K37" s="601">
        <f t="shared" ref="K37:K40" si="119">H37*I37</f>
        <v>308000</v>
      </c>
      <c r="L37" s="601">
        <v>500</v>
      </c>
      <c r="M37" s="604">
        <f t="shared" ref="M37:M40" si="120">I37*L37</f>
        <v>27500</v>
      </c>
      <c r="N37" s="601">
        <v>500</v>
      </c>
      <c r="O37" s="604">
        <f t="shared" ref="O37:O40" si="121">I37*N37</f>
        <v>27500</v>
      </c>
      <c r="P37" s="601">
        <v>500</v>
      </c>
      <c r="Q37" s="604">
        <f t="shared" ref="Q37:Q40" si="122">I37*P37</f>
        <v>27500</v>
      </c>
      <c r="R37" s="604">
        <f t="shared" ref="R37:R40" si="123">L37+N37+P37</f>
        <v>1500</v>
      </c>
      <c r="S37" s="605">
        <f t="shared" ref="S37:S40" si="124">M37+O37+Q37</f>
        <v>82500</v>
      </c>
      <c r="T37" s="601">
        <v>500</v>
      </c>
      <c r="U37" s="604">
        <f t="shared" ref="U37:U40" si="125">T37*I37</f>
        <v>27500</v>
      </c>
      <c r="V37" s="601">
        <v>300</v>
      </c>
      <c r="W37" s="604">
        <f t="shared" ref="W37:W40" si="126">V37*I37</f>
        <v>16500</v>
      </c>
      <c r="X37" s="601">
        <v>300</v>
      </c>
      <c r="Y37" s="604">
        <f t="shared" ref="Y37:Y40" si="127">X37*I37</f>
        <v>16500</v>
      </c>
      <c r="Z37" s="604">
        <f t="shared" ref="Z37:Z40" si="128">T37+V37+X37</f>
        <v>1100</v>
      </c>
      <c r="AA37" s="606">
        <f t="shared" ref="AA37:AA40" si="129">Z37*I37</f>
        <v>60500</v>
      </c>
      <c r="AB37" s="601">
        <v>500</v>
      </c>
      <c r="AC37" s="604">
        <f t="shared" ref="AC37:AC40" si="130">AB37*I37</f>
        <v>27500</v>
      </c>
      <c r="AD37" s="601">
        <v>500</v>
      </c>
      <c r="AE37" s="604">
        <f t="shared" ref="AE37:AE40" si="131">AD37*I37</f>
        <v>27500</v>
      </c>
      <c r="AF37" s="601">
        <v>500</v>
      </c>
      <c r="AG37" s="604">
        <f t="shared" ref="AG37:AG40" si="132">AF37*I37</f>
        <v>27500</v>
      </c>
      <c r="AH37" s="604">
        <f t="shared" ref="AH37:AH40" si="133">AB37+AD37+AF37</f>
        <v>1500</v>
      </c>
      <c r="AI37" s="607">
        <f t="shared" ref="AI37:AI40" si="134">AH37*I37</f>
        <v>82500</v>
      </c>
      <c r="AJ37" s="601">
        <v>500</v>
      </c>
      <c r="AK37" s="604">
        <f t="shared" ref="AK37:AK40" si="135">AJ37*I37</f>
        <v>27500</v>
      </c>
      <c r="AL37" s="601">
        <v>500</v>
      </c>
      <c r="AM37" s="604">
        <f t="shared" ref="AM37:AM40" si="136">AL37*I37</f>
        <v>27500</v>
      </c>
      <c r="AN37" s="601">
        <v>500</v>
      </c>
      <c r="AO37" s="604">
        <f t="shared" ref="AO37:AO40" si="137">AN37*I37</f>
        <v>27500</v>
      </c>
      <c r="AP37" s="604">
        <f t="shared" ref="AP37:AP40" si="138">AJ37+AL37+AN37</f>
        <v>1500</v>
      </c>
      <c r="AQ37" s="608">
        <f t="shared" ref="AQ37:AQ40" si="139">AP37*I37</f>
        <v>82500</v>
      </c>
    </row>
    <row r="38" spans="1:43" ht="14">
      <c r="A38" s="596" t="s">
        <v>99</v>
      </c>
      <c r="B38" s="597"/>
      <c r="C38" s="598" t="s">
        <v>211</v>
      </c>
      <c r="D38" s="599" t="s">
        <v>189</v>
      </c>
      <c r="E38" s="599" t="s">
        <v>189</v>
      </c>
      <c r="F38" s="609"/>
      <c r="G38" s="610">
        <v>4500</v>
      </c>
      <c r="H38" s="602">
        <f t="shared" si="118"/>
        <v>5600</v>
      </c>
      <c r="I38" s="603">
        <v>50</v>
      </c>
      <c r="J38" s="601">
        <f>G38*$I38</f>
        <v>225000</v>
      </c>
      <c r="K38" s="601">
        <f t="shared" si="119"/>
        <v>280000</v>
      </c>
      <c r="L38" s="601">
        <v>500</v>
      </c>
      <c r="M38" s="604">
        <f t="shared" si="120"/>
        <v>25000</v>
      </c>
      <c r="N38" s="601">
        <v>500</v>
      </c>
      <c r="O38" s="604">
        <f t="shared" si="121"/>
        <v>25000</v>
      </c>
      <c r="P38" s="601">
        <v>500</v>
      </c>
      <c r="Q38" s="604">
        <f t="shared" si="122"/>
        <v>25000</v>
      </c>
      <c r="R38" s="604">
        <f t="shared" si="123"/>
        <v>1500</v>
      </c>
      <c r="S38" s="605">
        <f t="shared" si="124"/>
        <v>75000</v>
      </c>
      <c r="T38" s="601">
        <v>500</v>
      </c>
      <c r="U38" s="604">
        <f t="shared" si="125"/>
        <v>25000</v>
      </c>
      <c r="V38" s="601">
        <v>300</v>
      </c>
      <c r="W38" s="604">
        <f t="shared" si="126"/>
        <v>15000</v>
      </c>
      <c r="X38" s="601">
        <v>300</v>
      </c>
      <c r="Y38" s="604">
        <f t="shared" si="127"/>
        <v>15000</v>
      </c>
      <c r="Z38" s="604">
        <f t="shared" si="128"/>
        <v>1100</v>
      </c>
      <c r="AA38" s="606">
        <f t="shared" si="129"/>
        <v>55000</v>
      </c>
      <c r="AB38" s="601">
        <v>500</v>
      </c>
      <c r="AC38" s="604">
        <f t="shared" si="130"/>
        <v>25000</v>
      </c>
      <c r="AD38" s="601">
        <v>500</v>
      </c>
      <c r="AE38" s="604">
        <f t="shared" si="131"/>
        <v>25000</v>
      </c>
      <c r="AF38" s="601">
        <v>500</v>
      </c>
      <c r="AG38" s="604">
        <f t="shared" si="132"/>
        <v>25000</v>
      </c>
      <c r="AH38" s="604">
        <f t="shared" si="133"/>
        <v>1500</v>
      </c>
      <c r="AI38" s="607">
        <f t="shared" si="134"/>
        <v>75000</v>
      </c>
      <c r="AJ38" s="601">
        <v>500</v>
      </c>
      <c r="AK38" s="604">
        <f t="shared" si="135"/>
        <v>25000</v>
      </c>
      <c r="AL38" s="601">
        <v>500</v>
      </c>
      <c r="AM38" s="604">
        <f t="shared" si="136"/>
        <v>25000</v>
      </c>
      <c r="AN38" s="601">
        <v>500</v>
      </c>
      <c r="AO38" s="604">
        <f t="shared" si="137"/>
        <v>25000</v>
      </c>
      <c r="AP38" s="604">
        <f t="shared" si="138"/>
        <v>1500</v>
      </c>
      <c r="AQ38" s="608">
        <f t="shared" si="139"/>
        <v>75000</v>
      </c>
    </row>
    <row r="39" spans="1:43" s="577" customFormat="1" ht="14">
      <c r="A39" s="612">
        <v>1.4</v>
      </c>
      <c r="B39" s="613"/>
      <c r="C39" s="598" t="s">
        <v>212</v>
      </c>
      <c r="D39" s="614" t="s">
        <v>189</v>
      </c>
      <c r="E39" s="614" t="s">
        <v>189</v>
      </c>
      <c r="F39" s="600"/>
      <c r="G39" s="610">
        <v>3800</v>
      </c>
      <c r="H39" s="602">
        <f t="shared" si="118"/>
        <v>5600</v>
      </c>
      <c r="I39" s="603">
        <v>55</v>
      </c>
      <c r="J39" s="601">
        <f>G39*$I39</f>
        <v>209000</v>
      </c>
      <c r="K39" s="601">
        <f t="shared" si="119"/>
        <v>308000</v>
      </c>
      <c r="L39" s="601">
        <v>500</v>
      </c>
      <c r="M39" s="604">
        <f t="shared" si="120"/>
        <v>27500</v>
      </c>
      <c r="N39" s="601">
        <v>500</v>
      </c>
      <c r="O39" s="604">
        <f t="shared" si="121"/>
        <v>27500</v>
      </c>
      <c r="P39" s="601">
        <v>500</v>
      </c>
      <c r="Q39" s="604">
        <f t="shared" si="122"/>
        <v>27500</v>
      </c>
      <c r="R39" s="604">
        <f t="shared" si="123"/>
        <v>1500</v>
      </c>
      <c r="S39" s="605">
        <f t="shared" si="124"/>
        <v>82500</v>
      </c>
      <c r="T39" s="601">
        <v>500</v>
      </c>
      <c r="U39" s="604">
        <f t="shared" si="125"/>
        <v>27500</v>
      </c>
      <c r="V39" s="601">
        <v>300</v>
      </c>
      <c r="W39" s="604">
        <f t="shared" si="126"/>
        <v>16500</v>
      </c>
      <c r="X39" s="601">
        <v>300</v>
      </c>
      <c r="Y39" s="604">
        <f t="shared" si="127"/>
        <v>16500</v>
      </c>
      <c r="Z39" s="604">
        <f t="shared" si="128"/>
        <v>1100</v>
      </c>
      <c r="AA39" s="606">
        <f t="shared" si="129"/>
        <v>60500</v>
      </c>
      <c r="AB39" s="601">
        <v>500</v>
      </c>
      <c r="AC39" s="604">
        <f t="shared" si="130"/>
        <v>27500</v>
      </c>
      <c r="AD39" s="601">
        <v>500</v>
      </c>
      <c r="AE39" s="604">
        <f t="shared" si="131"/>
        <v>27500</v>
      </c>
      <c r="AF39" s="601">
        <v>500</v>
      </c>
      <c r="AG39" s="604">
        <f t="shared" si="132"/>
        <v>27500</v>
      </c>
      <c r="AH39" s="604">
        <f t="shared" si="133"/>
        <v>1500</v>
      </c>
      <c r="AI39" s="607">
        <f t="shared" si="134"/>
        <v>82500</v>
      </c>
      <c r="AJ39" s="601">
        <v>500</v>
      </c>
      <c r="AK39" s="604">
        <f t="shared" si="135"/>
        <v>27500</v>
      </c>
      <c r="AL39" s="601">
        <v>500</v>
      </c>
      <c r="AM39" s="604">
        <f t="shared" si="136"/>
        <v>27500</v>
      </c>
      <c r="AN39" s="601">
        <v>500</v>
      </c>
      <c r="AO39" s="604">
        <f t="shared" si="137"/>
        <v>27500</v>
      </c>
      <c r="AP39" s="604">
        <f t="shared" si="138"/>
        <v>1500</v>
      </c>
      <c r="AQ39" s="608">
        <f t="shared" si="139"/>
        <v>82500</v>
      </c>
    </row>
    <row r="40" spans="1:43" s="577" customFormat="1" ht="14">
      <c r="A40" s="612">
        <v>1.5</v>
      </c>
      <c r="B40" s="613"/>
      <c r="C40" s="598" t="s">
        <v>213</v>
      </c>
      <c r="D40" s="614" t="s">
        <v>189</v>
      </c>
      <c r="E40" s="614" t="s">
        <v>189</v>
      </c>
      <c r="F40" s="600"/>
      <c r="G40" s="610">
        <v>3500</v>
      </c>
      <c r="H40" s="602">
        <f t="shared" si="118"/>
        <v>5600</v>
      </c>
      <c r="I40" s="603">
        <v>55</v>
      </c>
      <c r="J40" s="601">
        <f>G40*$I40</f>
        <v>192500</v>
      </c>
      <c r="K40" s="601">
        <f t="shared" si="119"/>
        <v>308000</v>
      </c>
      <c r="L40" s="601">
        <v>500</v>
      </c>
      <c r="M40" s="604">
        <f t="shared" si="120"/>
        <v>27500</v>
      </c>
      <c r="N40" s="601">
        <v>500</v>
      </c>
      <c r="O40" s="604">
        <f t="shared" si="121"/>
        <v>27500</v>
      </c>
      <c r="P40" s="601">
        <v>500</v>
      </c>
      <c r="Q40" s="604">
        <f t="shared" si="122"/>
        <v>27500</v>
      </c>
      <c r="R40" s="604">
        <f t="shared" si="123"/>
        <v>1500</v>
      </c>
      <c r="S40" s="605">
        <f t="shared" si="124"/>
        <v>82500</v>
      </c>
      <c r="T40" s="601">
        <v>500</v>
      </c>
      <c r="U40" s="604">
        <f t="shared" si="125"/>
        <v>27500</v>
      </c>
      <c r="V40" s="601">
        <v>300</v>
      </c>
      <c r="W40" s="604">
        <f t="shared" si="126"/>
        <v>16500</v>
      </c>
      <c r="X40" s="601">
        <v>300</v>
      </c>
      <c r="Y40" s="604">
        <f t="shared" si="127"/>
        <v>16500</v>
      </c>
      <c r="Z40" s="604">
        <f t="shared" si="128"/>
        <v>1100</v>
      </c>
      <c r="AA40" s="606">
        <f t="shared" si="129"/>
        <v>60500</v>
      </c>
      <c r="AB40" s="601">
        <v>500</v>
      </c>
      <c r="AC40" s="604">
        <f t="shared" si="130"/>
        <v>27500</v>
      </c>
      <c r="AD40" s="601">
        <v>500</v>
      </c>
      <c r="AE40" s="604">
        <f t="shared" si="131"/>
        <v>27500</v>
      </c>
      <c r="AF40" s="601">
        <v>500</v>
      </c>
      <c r="AG40" s="604">
        <f t="shared" si="132"/>
        <v>27500</v>
      </c>
      <c r="AH40" s="604">
        <f t="shared" si="133"/>
        <v>1500</v>
      </c>
      <c r="AI40" s="607">
        <f t="shared" si="134"/>
        <v>82500</v>
      </c>
      <c r="AJ40" s="601">
        <v>500</v>
      </c>
      <c r="AK40" s="604">
        <f t="shared" si="135"/>
        <v>27500</v>
      </c>
      <c r="AL40" s="601">
        <v>500</v>
      </c>
      <c r="AM40" s="604">
        <f t="shared" si="136"/>
        <v>27500</v>
      </c>
      <c r="AN40" s="601">
        <v>500</v>
      </c>
      <c r="AO40" s="604">
        <f t="shared" si="137"/>
        <v>27500</v>
      </c>
      <c r="AP40" s="604">
        <f t="shared" si="138"/>
        <v>1500</v>
      </c>
      <c r="AQ40" s="608">
        <f t="shared" si="139"/>
        <v>82500</v>
      </c>
    </row>
    <row r="41" spans="1:43" s="577" customFormat="1" ht="14">
      <c r="A41" s="627"/>
      <c r="B41" s="628"/>
      <c r="C41" s="629" t="s">
        <v>198</v>
      </c>
      <c r="D41" s="630"/>
      <c r="E41" s="630"/>
      <c r="F41" s="631"/>
      <c r="G41" s="632"/>
      <c r="H41" s="633"/>
      <c r="I41" s="634"/>
      <c r="J41" s="580">
        <f t="shared" ref="J41:AQ41" si="140">J35+J29+J23+J17+J11</f>
        <v>6325000</v>
      </c>
      <c r="K41" s="635">
        <f t="shared" si="140"/>
        <v>10051200</v>
      </c>
      <c r="L41" s="635">
        <f t="shared" si="140"/>
        <v>12500</v>
      </c>
      <c r="M41" s="635">
        <f t="shared" si="140"/>
        <v>901000</v>
      </c>
      <c r="N41" s="635">
        <f t="shared" si="140"/>
        <v>12500</v>
      </c>
      <c r="O41" s="635">
        <f t="shared" si="140"/>
        <v>901000</v>
      </c>
      <c r="P41" s="635">
        <f t="shared" si="140"/>
        <v>12500</v>
      </c>
      <c r="Q41" s="635">
        <f t="shared" si="140"/>
        <v>901000</v>
      </c>
      <c r="R41" s="635">
        <f t="shared" si="140"/>
        <v>37500</v>
      </c>
      <c r="S41" s="635">
        <f t="shared" si="140"/>
        <v>2703000</v>
      </c>
      <c r="T41" s="635">
        <f t="shared" si="140"/>
        <v>12500</v>
      </c>
      <c r="U41" s="635">
        <f t="shared" si="140"/>
        <v>901000</v>
      </c>
      <c r="V41" s="635">
        <f t="shared" si="140"/>
        <v>7500</v>
      </c>
      <c r="W41" s="635">
        <f t="shared" si="140"/>
        <v>540600</v>
      </c>
      <c r="X41" s="635">
        <f t="shared" si="140"/>
        <v>7500</v>
      </c>
      <c r="Y41" s="635">
        <f t="shared" si="140"/>
        <v>540600</v>
      </c>
      <c r="Z41" s="635">
        <f t="shared" si="140"/>
        <v>27500</v>
      </c>
      <c r="AA41" s="635">
        <f t="shared" si="140"/>
        <v>1982200</v>
      </c>
      <c r="AB41" s="635">
        <f t="shared" si="140"/>
        <v>11500</v>
      </c>
      <c r="AC41" s="635">
        <f t="shared" si="140"/>
        <v>861000</v>
      </c>
      <c r="AD41" s="635">
        <f t="shared" si="140"/>
        <v>12500</v>
      </c>
      <c r="AE41" s="635">
        <f t="shared" si="140"/>
        <v>901000</v>
      </c>
      <c r="AF41" s="635">
        <f t="shared" si="140"/>
        <v>12500</v>
      </c>
      <c r="AG41" s="635">
        <f t="shared" si="140"/>
        <v>901000</v>
      </c>
      <c r="AH41" s="635">
        <f t="shared" si="140"/>
        <v>36500</v>
      </c>
      <c r="AI41" s="635">
        <f t="shared" si="140"/>
        <v>2663000</v>
      </c>
      <c r="AJ41" s="635">
        <f t="shared" si="140"/>
        <v>12500</v>
      </c>
      <c r="AK41" s="635">
        <f t="shared" si="140"/>
        <v>901000</v>
      </c>
      <c r="AL41" s="635">
        <f t="shared" si="140"/>
        <v>12500</v>
      </c>
      <c r="AM41" s="635">
        <f t="shared" si="140"/>
        <v>901000</v>
      </c>
      <c r="AN41" s="635">
        <f t="shared" si="140"/>
        <v>12500</v>
      </c>
      <c r="AO41" s="635">
        <f t="shared" si="140"/>
        <v>901000</v>
      </c>
      <c r="AP41" s="635">
        <f t="shared" si="140"/>
        <v>37500</v>
      </c>
      <c r="AQ41" s="635">
        <f t="shared" si="140"/>
        <v>2703000</v>
      </c>
    </row>
    <row r="42" spans="1:43" s="577" customFormat="1">
      <c r="A42" s="576" t="s">
        <v>199</v>
      </c>
      <c r="B42" s="636"/>
      <c r="C42" s="637"/>
      <c r="D42" s="638"/>
      <c r="E42" s="638"/>
      <c r="F42" s="639"/>
      <c r="G42" s="640"/>
      <c r="H42" s="641"/>
      <c r="I42" s="642"/>
      <c r="J42" s="643"/>
      <c r="K42" s="643"/>
      <c r="L42" s="643"/>
      <c r="N42" s="643"/>
      <c r="P42" s="643"/>
      <c r="Q42" s="644">
        <f>Q41+O41+M41</f>
        <v>2703000</v>
      </c>
      <c r="R42" s="645"/>
      <c r="S42" s="645"/>
      <c r="T42" s="643"/>
      <c r="V42" s="643"/>
      <c r="X42" s="643"/>
      <c r="Y42" s="644">
        <f>U41+W41+Y41</f>
        <v>1982200</v>
      </c>
      <c r="Z42" s="645"/>
      <c r="AA42" s="645"/>
      <c r="AB42" s="643"/>
      <c r="AD42" s="643"/>
      <c r="AF42" s="643"/>
      <c r="AG42" s="644">
        <f>AC41+AE41+AG41</f>
        <v>2663000</v>
      </c>
      <c r="AH42" s="645"/>
      <c r="AI42" s="645"/>
      <c r="AJ42" s="643"/>
      <c r="AL42" s="643"/>
      <c r="AN42" s="643"/>
      <c r="AO42" s="644">
        <f>AK41+AM41+AO41</f>
        <v>2703000</v>
      </c>
      <c r="AP42" s="645"/>
      <c r="AQ42" s="645"/>
    </row>
    <row r="43" spans="1:43">
      <c r="A43" s="646"/>
      <c r="B43" s="695">
        <v>1</v>
      </c>
      <c r="C43" s="691" t="s">
        <v>200</v>
      </c>
      <c r="D43" s="691"/>
      <c r="E43" s="691"/>
      <c r="F43" s="691"/>
      <c r="G43" s="691"/>
      <c r="H43" s="691"/>
      <c r="I43" s="691"/>
    </row>
    <row r="44" spans="1:43">
      <c r="A44" s="646"/>
      <c r="B44" s="696"/>
      <c r="C44" s="691" t="s">
        <v>201</v>
      </c>
      <c r="D44" s="691"/>
      <c r="E44" s="691"/>
      <c r="F44" s="691"/>
      <c r="G44" s="691"/>
      <c r="H44" s="691"/>
      <c r="I44" s="691"/>
    </row>
    <row r="45" spans="1:43">
      <c r="A45" s="646"/>
      <c r="B45" s="648">
        <v>2</v>
      </c>
      <c r="C45" s="691" t="s">
        <v>202</v>
      </c>
      <c r="D45" s="691"/>
      <c r="E45" s="691"/>
      <c r="F45" s="691"/>
      <c r="G45" s="691"/>
      <c r="H45" s="691"/>
      <c r="I45" s="691"/>
    </row>
    <row r="46" spans="1:43">
      <c r="B46" s="648">
        <v>3</v>
      </c>
      <c r="C46" s="691" t="s">
        <v>203</v>
      </c>
      <c r="D46" s="691"/>
      <c r="E46" s="691"/>
      <c r="F46" s="691"/>
      <c r="G46" s="691"/>
      <c r="H46" s="691"/>
      <c r="I46" s="691"/>
    </row>
  </sheetData>
  <mergeCells count="42">
    <mergeCell ref="A4:B4"/>
    <mergeCell ref="C4:J4"/>
    <mergeCell ref="A5:B5"/>
    <mergeCell ref="C5:J5"/>
    <mergeCell ref="A6:B6"/>
    <mergeCell ref="C6:J6"/>
    <mergeCell ref="A1:B1"/>
    <mergeCell ref="C1:J1"/>
    <mergeCell ref="A2:B2"/>
    <mergeCell ref="C2:J2"/>
    <mergeCell ref="A3:B3"/>
    <mergeCell ref="C3:J3"/>
    <mergeCell ref="A8:K8"/>
    <mergeCell ref="A9:A10"/>
    <mergeCell ref="B9:B10"/>
    <mergeCell ref="C9:C10"/>
    <mergeCell ref="D9:E9"/>
    <mergeCell ref="F9:F10"/>
    <mergeCell ref="G9:H9"/>
    <mergeCell ref="I9:I10"/>
    <mergeCell ref="J9:K9"/>
    <mergeCell ref="AP9:AQ9"/>
    <mergeCell ref="B43:B44"/>
    <mergeCell ref="C43:I43"/>
    <mergeCell ref="C44:I44"/>
    <mergeCell ref="X9:Y9"/>
    <mergeCell ref="Z9:AA9"/>
    <mergeCell ref="AB9:AC9"/>
    <mergeCell ref="AD9:AE9"/>
    <mergeCell ref="AF9:AG9"/>
    <mergeCell ref="AH9:AI9"/>
    <mergeCell ref="L9:M9"/>
    <mergeCell ref="N9:O9"/>
    <mergeCell ref="P9:Q9"/>
    <mergeCell ref="R9:S9"/>
    <mergeCell ref="T9:U9"/>
    <mergeCell ref="V9:W9"/>
    <mergeCell ref="C45:I45"/>
    <mergeCell ref="C46:I46"/>
    <mergeCell ref="AJ9:AK9"/>
    <mergeCell ref="AL9:AM9"/>
    <mergeCell ref="AN9:AO9"/>
  </mergeCells>
  <pageMargins left="0.7" right="0.7" top="0.75" bottom="0.75" header="0.3" footer="0.3"/>
  <pageSetup paperSize="9" orientation="landscape" horizontalDpi="0" verticalDpi="0" r:id="rId1"/>
  <headerFooter>
    <oddFooter>Page &amp;P&amp;R&amp;F</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75"/>
  <sheetViews>
    <sheetView showGridLines="0" tabSelected="1" workbookViewId="0">
      <selection activeCell="U35" sqref="U35"/>
    </sheetView>
  </sheetViews>
  <sheetFormatPr baseColWidth="10" defaultColWidth="10.83203125" defaultRowHeight="13"/>
  <cols>
    <col min="1" max="1" width="10.6640625" style="486" customWidth="1"/>
    <col min="2" max="2" width="15.83203125" style="486" customWidth="1"/>
    <col min="3" max="5" width="12" style="486" customWidth="1"/>
    <col min="6" max="6" width="10.83203125" style="486"/>
    <col min="7" max="7" width="17.1640625" style="486" customWidth="1"/>
    <col min="8" max="10" width="10.5" style="486" bestFit="1" customWidth="1"/>
    <col min="11" max="16384" width="10.83203125" style="486"/>
  </cols>
  <sheetData>
    <row r="1" spans="1:15" s="108" customFormat="1" ht="17" customHeight="1">
      <c r="A1" s="680" t="s">
        <v>78</v>
      </c>
      <c r="B1" s="681"/>
      <c r="C1" s="687" t="s">
        <v>175</v>
      </c>
      <c r="D1" s="688"/>
      <c r="E1" s="688"/>
      <c r="F1" s="688"/>
      <c r="G1" s="688"/>
      <c r="H1" s="688"/>
      <c r="I1" s="688"/>
      <c r="J1" s="688"/>
      <c r="K1" s="373"/>
      <c r="L1" s="374"/>
      <c r="M1" s="375"/>
      <c r="N1" s="376"/>
      <c r="O1" s="375"/>
    </row>
    <row r="2" spans="1:15" s="108" customFormat="1" ht="17" customHeight="1">
      <c r="A2" s="682" t="s">
        <v>1</v>
      </c>
      <c r="B2" s="683"/>
      <c r="C2" s="687"/>
      <c r="D2" s="688"/>
      <c r="E2" s="688"/>
      <c r="F2" s="688"/>
      <c r="G2" s="688"/>
      <c r="H2" s="688"/>
      <c r="I2" s="688"/>
      <c r="J2" s="688"/>
      <c r="K2" s="373"/>
      <c r="L2" s="374"/>
      <c r="M2" s="375"/>
      <c r="N2" s="376"/>
      <c r="O2" s="375"/>
    </row>
    <row r="3" spans="1:15" s="108" customFormat="1" ht="17" customHeight="1">
      <c r="A3" s="682" t="s">
        <v>0</v>
      </c>
      <c r="B3" s="683"/>
      <c r="C3" s="687"/>
      <c r="D3" s="688"/>
      <c r="E3" s="688"/>
      <c r="F3" s="688"/>
      <c r="G3" s="688"/>
      <c r="H3" s="688"/>
      <c r="I3" s="688"/>
      <c r="J3" s="688"/>
      <c r="K3" s="373"/>
      <c r="L3" s="374"/>
      <c r="M3" s="375"/>
      <c r="N3" s="376"/>
      <c r="O3" s="375"/>
    </row>
    <row r="4" spans="1:15" s="108" customFormat="1" ht="17" customHeight="1">
      <c r="A4" s="682" t="s">
        <v>2</v>
      </c>
      <c r="B4" s="683"/>
      <c r="C4" s="687"/>
      <c r="D4" s="688"/>
      <c r="E4" s="688"/>
      <c r="F4" s="688"/>
      <c r="G4" s="688"/>
      <c r="H4" s="688"/>
      <c r="I4" s="688"/>
      <c r="J4" s="688"/>
      <c r="K4" s="373"/>
      <c r="L4" s="374"/>
      <c r="M4" s="375"/>
      <c r="N4" s="376"/>
      <c r="O4" s="375"/>
    </row>
    <row r="5" spans="1:15" s="108" customFormat="1" ht="17" customHeight="1">
      <c r="A5" s="682" t="s">
        <v>3</v>
      </c>
      <c r="B5" s="683"/>
      <c r="C5" s="687"/>
      <c r="D5" s="688"/>
      <c r="E5" s="688"/>
      <c r="F5" s="688"/>
      <c r="G5" s="688"/>
      <c r="H5" s="688"/>
      <c r="I5" s="688"/>
      <c r="J5" s="688"/>
      <c r="K5" s="373"/>
      <c r="L5" s="374"/>
      <c r="M5" s="375"/>
      <c r="N5" s="376"/>
      <c r="O5" s="375"/>
    </row>
    <row r="6" spans="1:15" s="108" customFormat="1" ht="17" customHeight="1">
      <c r="A6" s="684" t="s">
        <v>42</v>
      </c>
      <c r="B6" s="685"/>
      <c r="C6" s="689">
        <v>43617</v>
      </c>
      <c r="D6" s="688"/>
      <c r="E6" s="688"/>
      <c r="F6" s="688"/>
      <c r="G6" s="688"/>
      <c r="H6" s="688"/>
      <c r="I6" s="688"/>
      <c r="J6" s="688"/>
      <c r="K6" s="373"/>
      <c r="L6" s="374"/>
      <c r="M6" s="375"/>
      <c r="N6" s="376"/>
      <c r="O6" s="375"/>
    </row>
    <row r="7" spans="1:15" s="108" customFormat="1">
      <c r="A7" s="110"/>
      <c r="B7" s="110"/>
      <c r="C7" s="477"/>
      <c r="D7" s="478"/>
      <c r="E7" s="478"/>
      <c r="F7" s="479"/>
      <c r="G7" s="479"/>
      <c r="H7" s="478"/>
      <c r="I7" s="479"/>
      <c r="J7" s="478"/>
      <c r="K7" s="479"/>
      <c r="L7" s="481"/>
      <c r="M7" s="375"/>
      <c r="N7" s="376"/>
      <c r="O7" s="375"/>
    </row>
    <row r="8" spans="1:15" s="115" customFormat="1" ht="22.5" customHeight="1">
      <c r="A8" s="679" t="s">
        <v>237</v>
      </c>
      <c r="B8" s="679"/>
      <c r="C8" s="679"/>
      <c r="D8" s="679"/>
      <c r="E8" s="679"/>
      <c r="F8" s="679"/>
      <c r="G8" s="679"/>
      <c r="H8" s="679"/>
      <c r="I8" s="679"/>
      <c r="J8" s="679"/>
      <c r="K8" s="377"/>
      <c r="L8" s="378"/>
      <c r="M8" s="379"/>
      <c r="N8" s="380"/>
      <c r="O8" s="379"/>
    </row>
    <row r="9" spans="1:15" s="125" customFormat="1" ht="15">
      <c r="A9" s="560"/>
      <c r="B9" s="561"/>
      <c r="C9" s="565"/>
      <c r="D9" s="562"/>
      <c r="E9" s="566" t="s">
        <v>225</v>
      </c>
      <c r="F9" s="563"/>
      <c r="G9" s="563"/>
      <c r="H9" s="562"/>
      <c r="I9" s="563"/>
      <c r="J9" s="564"/>
      <c r="K9" s="383"/>
      <c r="L9" s="385"/>
      <c r="M9" s="386"/>
      <c r="N9" s="387"/>
      <c r="O9" s="386"/>
    </row>
    <row r="12" spans="1:15" ht="17" customHeight="1">
      <c r="A12" s="714" t="s">
        <v>238</v>
      </c>
      <c r="B12" s="715"/>
      <c r="C12" s="715"/>
      <c r="D12" s="716"/>
    </row>
    <row r="13" spans="1:15" ht="17" customHeight="1">
      <c r="A13" s="571"/>
      <c r="B13" s="571">
        <v>2019</v>
      </c>
      <c r="C13" s="571">
        <v>2020</v>
      </c>
      <c r="D13" s="571">
        <v>2021</v>
      </c>
    </row>
    <row r="14" spans="1:15" ht="17" customHeight="1">
      <c r="A14" s="567" t="s">
        <v>239</v>
      </c>
      <c r="B14" s="567">
        <f>'Phân bổ tài chính (Bản chuẩn)'!E15</f>
        <v>6375500</v>
      </c>
      <c r="C14" s="567">
        <f>'Phân bổ tài chính (Bản chuẩn)'!H15</f>
        <v>8895800</v>
      </c>
      <c r="D14" s="567">
        <f>'Phân bổ tài chính (Bản chuẩn)'!J15</f>
        <v>16026100</v>
      </c>
    </row>
    <row r="15" spans="1:15" ht="17" customHeight="1">
      <c r="A15" s="568" t="s">
        <v>240</v>
      </c>
      <c r="B15" s="568">
        <v>0</v>
      </c>
      <c r="C15" s="569">
        <f>C14/B14</f>
        <v>1.3953101717512353</v>
      </c>
      <c r="D15" s="569">
        <f>D14/C14</f>
        <v>1.8015355561051283</v>
      </c>
    </row>
    <row r="16" spans="1:15" ht="17" customHeight="1">
      <c r="A16" s="568"/>
      <c r="B16" s="568"/>
      <c r="C16" s="568"/>
      <c r="D16" s="568"/>
    </row>
    <row r="17" spans="1:4" ht="17" customHeight="1">
      <c r="A17" s="491" t="s">
        <v>241</v>
      </c>
      <c r="B17" s="568"/>
      <c r="C17" s="568"/>
      <c r="D17" s="568"/>
    </row>
    <row r="18" spans="1:4" ht="17" customHeight="1">
      <c r="A18" s="568" t="s">
        <v>242</v>
      </c>
      <c r="B18" s="567">
        <f>'Phân bổ tài chính (Bản chuẩn)'!E16</f>
        <v>410000</v>
      </c>
      <c r="C18" s="567">
        <f>'Phân bổ tài chính (Bản chuẩn)'!H16</f>
        <v>675000</v>
      </c>
      <c r="D18" s="567">
        <f>'Phân bổ tài chính (Bản chuẩn)'!J16</f>
        <v>1012500</v>
      </c>
    </row>
    <row r="19" spans="1:4" ht="17" customHeight="1">
      <c r="A19" s="568" t="s">
        <v>243</v>
      </c>
      <c r="B19" s="567">
        <f>'Phân bổ tài chính (Bản chuẩn)'!E22</f>
        <v>1793000</v>
      </c>
      <c r="C19" s="567">
        <f>'Phân bổ tài chính (Bản chuẩn)'!H22</f>
        <v>1825600</v>
      </c>
      <c r="D19" s="567">
        <f>'Phân bổ tài chính (Bản chuẩn)'!J22</f>
        <v>2738400</v>
      </c>
    </row>
    <row r="20" spans="1:4" ht="17" customHeight="1">
      <c r="A20" s="568" t="s">
        <v>244</v>
      </c>
      <c r="B20" s="567">
        <f>'Phân bổ tài chính (Bản chuẩn)'!E28</f>
        <v>1587500</v>
      </c>
      <c r="C20" s="567">
        <f>'Phân bổ tài chính (Bản chuẩn)'!H28</f>
        <v>2576000</v>
      </c>
      <c r="D20" s="567">
        <f>'Phân bổ tài chính (Bản chuẩn)'!J28</f>
        <v>4636800</v>
      </c>
    </row>
    <row r="21" spans="1:4" ht="17" customHeight="1">
      <c r="A21" s="568" t="s">
        <v>245</v>
      </c>
      <c r="B21" s="567">
        <f>'Phân bổ tài chính (Bản chuẩn)'!E34</f>
        <v>1451000</v>
      </c>
      <c r="C21" s="567">
        <f>'Phân bổ tài chính (Bản chuẩn)'!H34</f>
        <v>2335200</v>
      </c>
      <c r="D21" s="567">
        <f>'Phân bổ tài chính (Bản chuẩn)'!J34</f>
        <v>4670400</v>
      </c>
    </row>
    <row r="22" spans="1:4" ht="17" customHeight="1">
      <c r="A22" s="568" t="s">
        <v>246</v>
      </c>
      <c r="B22" s="567">
        <f>'Phân bổ tài chính (Bản chuẩn)'!E40</f>
        <v>1134000</v>
      </c>
      <c r="C22" s="567">
        <f>'Phân bổ tài chính (Bản chuẩn)'!H40</f>
        <v>1484000</v>
      </c>
      <c r="D22" s="567">
        <f>'Phân bổ tài chính (Bản chuẩn)'!J40</f>
        <v>2968000</v>
      </c>
    </row>
    <row r="23" spans="1:4" ht="17" customHeight="1">
      <c r="A23" s="656"/>
      <c r="B23" s="656"/>
      <c r="C23" s="656"/>
      <c r="D23" s="656"/>
    </row>
    <row r="24" spans="1:4" ht="17" customHeight="1">
      <c r="A24" s="491" t="s">
        <v>247</v>
      </c>
      <c r="B24" s="568"/>
      <c r="C24" s="568"/>
      <c r="D24" s="568"/>
    </row>
    <row r="25" spans="1:4" ht="17" customHeight="1">
      <c r="A25" s="568" t="s">
        <v>261</v>
      </c>
      <c r="B25" s="568">
        <v>0</v>
      </c>
      <c r="C25" s="569">
        <f t="shared" ref="C25:D29" si="0">C18/B18</f>
        <v>1.6463414634146341</v>
      </c>
      <c r="D25" s="569">
        <f t="shared" si="0"/>
        <v>1.5</v>
      </c>
    </row>
    <row r="26" spans="1:4" ht="17" customHeight="1">
      <c r="A26" s="568" t="s">
        <v>262</v>
      </c>
      <c r="B26" s="568">
        <v>0</v>
      </c>
      <c r="C26" s="569">
        <f t="shared" si="0"/>
        <v>1.0181818181818181</v>
      </c>
      <c r="D26" s="569">
        <f t="shared" si="0"/>
        <v>1.5</v>
      </c>
    </row>
    <row r="27" spans="1:4" ht="17" customHeight="1">
      <c r="A27" s="568" t="s">
        <v>263</v>
      </c>
      <c r="B27" s="568">
        <v>0</v>
      </c>
      <c r="C27" s="569">
        <f t="shared" si="0"/>
        <v>1.6226771653543308</v>
      </c>
      <c r="D27" s="569">
        <f t="shared" si="0"/>
        <v>1.8</v>
      </c>
    </row>
    <row r="28" spans="1:4" ht="17" customHeight="1">
      <c r="A28" s="568" t="s">
        <v>264</v>
      </c>
      <c r="B28" s="568">
        <v>0</v>
      </c>
      <c r="C28" s="569">
        <f t="shared" si="0"/>
        <v>1.6093728463128876</v>
      </c>
      <c r="D28" s="569">
        <f t="shared" si="0"/>
        <v>2</v>
      </c>
    </row>
    <row r="29" spans="1:4" ht="17" customHeight="1">
      <c r="A29" s="568" t="s">
        <v>265</v>
      </c>
      <c r="B29" s="568">
        <v>0</v>
      </c>
      <c r="C29" s="569">
        <f t="shared" si="0"/>
        <v>1.308641975308642</v>
      </c>
      <c r="D29" s="569">
        <f t="shared" si="0"/>
        <v>2</v>
      </c>
    </row>
    <row r="30" spans="1:4" ht="17" customHeight="1">
      <c r="A30" s="656"/>
      <c r="B30" s="656"/>
      <c r="C30" s="656"/>
      <c r="D30" s="656"/>
    </row>
    <row r="31" spans="1:4" ht="17" customHeight="1">
      <c r="A31" s="491" t="s">
        <v>248</v>
      </c>
      <c r="B31" s="568"/>
      <c r="C31" s="568"/>
      <c r="D31" s="568"/>
    </row>
    <row r="32" spans="1:4" ht="17" customHeight="1">
      <c r="A32" s="568" t="s">
        <v>242</v>
      </c>
      <c r="B32" s="569">
        <f>B18/B14</f>
        <v>6.4308681672025719E-2</v>
      </c>
      <c r="C32" s="569">
        <f>C18/C14</f>
        <v>7.5878504462780189E-2</v>
      </c>
      <c r="D32" s="569">
        <f>D18/D14</f>
        <v>6.3178190576621884E-2</v>
      </c>
    </row>
    <row r="33" spans="1:4" ht="17" customHeight="1">
      <c r="A33" s="568" t="s">
        <v>243</v>
      </c>
      <c r="B33" s="569">
        <f>B19/B14</f>
        <v>0.28123284448278568</v>
      </c>
      <c r="C33" s="569">
        <f>C19/C14</f>
        <v>0.20522044110703927</v>
      </c>
      <c r="D33" s="569">
        <f>D19/D14</f>
        <v>0.17087126624693469</v>
      </c>
    </row>
    <row r="34" spans="1:4" ht="17" customHeight="1">
      <c r="A34" s="568" t="s">
        <v>244</v>
      </c>
      <c r="B34" s="569">
        <f>B20/B14</f>
        <v>0.24900007842522154</v>
      </c>
      <c r="C34" s="569">
        <f>C20/C14</f>
        <v>0.28957485554981</v>
      </c>
      <c r="D34" s="569">
        <f>D20/D14</f>
        <v>0.28932803364511639</v>
      </c>
    </row>
    <row r="35" spans="1:4" ht="17" customHeight="1">
      <c r="A35" s="568" t="s">
        <v>245</v>
      </c>
      <c r="B35" s="569">
        <f>B21/B14</f>
        <v>0.22758999294173007</v>
      </c>
      <c r="C35" s="569">
        <f>C21/C14</f>
        <v>0.26250590166145821</v>
      </c>
      <c r="D35" s="569">
        <f>D21/D14</f>
        <v>0.29142461359906652</v>
      </c>
    </row>
    <row r="36" spans="1:4" ht="17" customHeight="1">
      <c r="A36" s="568" t="s">
        <v>246</v>
      </c>
      <c r="B36" s="569">
        <f>B22/B14</f>
        <v>0.17786840247823701</v>
      </c>
      <c r="C36" s="569">
        <f>C22/C14</f>
        <v>0.16682029721891228</v>
      </c>
      <c r="D36" s="569">
        <f>D22/D14</f>
        <v>0.18519789593226049</v>
      </c>
    </row>
    <row r="37" spans="1:4" ht="17" customHeight="1">
      <c r="A37" s="657"/>
      <c r="B37" s="657"/>
      <c r="C37" s="657"/>
      <c r="D37" s="657"/>
    </row>
    <row r="38" spans="1:4" ht="17" customHeight="1">
      <c r="A38" s="658"/>
      <c r="B38" s="658"/>
      <c r="C38" s="658"/>
      <c r="D38" s="658"/>
    </row>
    <row r="39" spans="1:4" ht="17" customHeight="1">
      <c r="A39" s="658"/>
      <c r="B39" s="658"/>
      <c r="C39" s="658"/>
      <c r="D39" s="658"/>
    </row>
    <row r="40" spans="1:4" ht="17" customHeight="1">
      <c r="A40" s="658"/>
      <c r="B40" s="658"/>
      <c r="C40" s="658"/>
      <c r="D40" s="658"/>
    </row>
    <row r="41" spans="1:4" ht="17" customHeight="1">
      <c r="A41" s="658"/>
      <c r="B41" s="658"/>
      <c r="C41" s="658"/>
      <c r="D41" s="658"/>
    </row>
    <row r="42" spans="1:4" ht="17" customHeight="1">
      <c r="A42" s="659"/>
      <c r="B42" s="659"/>
      <c r="C42" s="659"/>
      <c r="D42" s="659"/>
    </row>
    <row r="43" spans="1:4" ht="17" customHeight="1">
      <c r="A43" s="714" t="s">
        <v>249</v>
      </c>
      <c r="B43" s="715"/>
      <c r="C43" s="715"/>
      <c r="D43" s="716"/>
    </row>
    <row r="44" spans="1:4" ht="17" customHeight="1">
      <c r="A44" s="571"/>
      <c r="B44" s="571">
        <v>2019</v>
      </c>
      <c r="C44" s="571">
        <v>2020</v>
      </c>
      <c r="D44" s="571">
        <v>2021</v>
      </c>
    </row>
    <row r="45" spans="1:4" ht="17" customHeight="1">
      <c r="A45" s="568" t="s">
        <v>250</v>
      </c>
      <c r="B45" s="575">
        <f>'Phân bổ tài chính (Bản chuẩn)'!E52</f>
        <v>637550</v>
      </c>
      <c r="C45" s="575">
        <f>'Phân bổ tài chính (Bản chuẩn)'!H52</f>
        <v>900000</v>
      </c>
      <c r="D45" s="575">
        <f>'Phân bổ tài chính (Bản chuẩn)'!J52</f>
        <v>1080000</v>
      </c>
    </row>
    <row r="46" spans="1:4" ht="17" customHeight="1">
      <c r="A46" s="568" t="s">
        <v>251</v>
      </c>
      <c r="B46" s="575">
        <f>'Phân bổ tài chính (Bản chuẩn)'!E57</f>
        <v>892570.00000000012</v>
      </c>
      <c r="C46" s="575">
        <f>'Phân bổ tài chính (Bản chuẩn)'!H57</f>
        <v>1071084</v>
      </c>
      <c r="D46" s="575">
        <f>'Phân bổ tài chính (Bản chuẩn)'!J57</f>
        <v>1285300.8</v>
      </c>
    </row>
    <row r="47" spans="1:4" ht="17" customHeight="1">
      <c r="A47" s="568" t="s">
        <v>252</v>
      </c>
      <c r="B47" s="575">
        <f>'Phân bổ tài chính (Bản chuẩn)'!E64</f>
        <v>1275100</v>
      </c>
      <c r="C47" s="575">
        <f>'Phân bổ tài chính (Bản chuẩn)'!H64</f>
        <v>1334370</v>
      </c>
      <c r="D47" s="575">
        <f>'Phân bổ tài chính (Bản chuẩn)'!J64</f>
        <v>2403915</v>
      </c>
    </row>
    <row r="48" spans="1:4" ht="17" customHeight="1">
      <c r="A48" s="568" t="s">
        <v>253</v>
      </c>
      <c r="B48" s="575">
        <f>'Phân bổ tài chính (Bản chuẩn)'!E68</f>
        <v>137510</v>
      </c>
      <c r="C48" s="575">
        <f>'Phân bổ tài chính (Bản chuẩn)'!H68</f>
        <v>133437</v>
      </c>
      <c r="D48" s="575">
        <f>'Phân bổ tài chính (Bản chuẩn)'!J68</f>
        <v>240391.5</v>
      </c>
    </row>
    <row r="49" spans="1:4" ht="17" customHeight="1">
      <c r="A49" s="568" t="s">
        <v>254</v>
      </c>
      <c r="B49" s="575">
        <f>'Phân bổ tài chính (Bản chuẩn)'!E70</f>
        <v>662500</v>
      </c>
      <c r="C49" s="575">
        <f>'Phân bổ tài chính (Bản chuẩn)'!H70</f>
        <v>1125000</v>
      </c>
      <c r="D49" s="575">
        <f>'Phân bổ tài chính (Bản chuẩn)'!J70</f>
        <v>1550000</v>
      </c>
    </row>
    <row r="50" spans="1:4" ht="17" customHeight="1">
      <c r="A50" s="568" t="s">
        <v>66</v>
      </c>
      <c r="B50" s="575">
        <f>'Phân bổ tài chính (Bản chuẩn)'!E73</f>
        <v>1630500</v>
      </c>
      <c r="C50" s="575">
        <f>'Phân bổ tài chính (Bản chuẩn)'!H73</f>
        <v>2268000</v>
      </c>
      <c r="D50" s="575">
        <f>'Phân bổ tài chính (Bản chuẩn)'!J73</f>
        <v>4441200</v>
      </c>
    </row>
    <row r="51" spans="1:4" ht="17" customHeight="1">
      <c r="A51" s="568" t="s">
        <v>255</v>
      </c>
      <c r="B51" s="575">
        <f>'Phân bổ tài chính (Bản chuẩn)'!E79</f>
        <v>191265</v>
      </c>
      <c r="C51" s="575">
        <f>'Phân bổ tài chính (Bản chuẩn)'!H79</f>
        <v>266874</v>
      </c>
      <c r="D51" s="575">
        <f>'Phân bổ tài chính (Bản chuẩn)'!J86</f>
        <v>480783</v>
      </c>
    </row>
    <row r="52" spans="1:4" ht="17" customHeight="1">
      <c r="A52" s="568" t="s">
        <v>236</v>
      </c>
      <c r="B52" s="575">
        <f>'Phân bổ tài chính (Bản chuẩn)'!E80</f>
        <v>1517165</v>
      </c>
      <c r="C52" s="575">
        <f>'Phân bổ tài chính (Bản chuẩn)'!H80</f>
        <v>2109228</v>
      </c>
      <c r="D52" s="575">
        <f>'Phân bổ tài chính (Bản chuẩn)'!J80</f>
        <v>3773150</v>
      </c>
    </row>
    <row r="53" spans="1:4" ht="17" customHeight="1">
      <c r="A53" s="568" t="s">
        <v>67</v>
      </c>
      <c r="B53" s="575">
        <f>'Phân bổ tài chính (Bản chuẩn)'!E86</f>
        <v>191265</v>
      </c>
      <c r="C53" s="575">
        <f>'Phân bổ tài chính (Bản chuẩn)'!H86</f>
        <v>266874</v>
      </c>
      <c r="D53" s="575">
        <f>'Phân bổ tài chính (Bản chuẩn)'!J86</f>
        <v>480783</v>
      </c>
    </row>
    <row r="54" spans="1:4">
      <c r="A54" s="568" t="s">
        <v>260</v>
      </c>
      <c r="B54" s="575">
        <f>SUM(B45:B53)</f>
        <v>7135425</v>
      </c>
      <c r="C54" s="575">
        <f t="shared" ref="C54:D54" si="1">SUM(C45:C53)</f>
        <v>9474867</v>
      </c>
      <c r="D54" s="575">
        <f t="shared" si="1"/>
        <v>15735523.300000001</v>
      </c>
    </row>
    <row r="56" spans="1:4" ht="18" customHeight="1">
      <c r="A56" s="714" t="s">
        <v>256</v>
      </c>
      <c r="B56" s="715"/>
      <c r="C56" s="715"/>
      <c r="D56" s="716"/>
    </row>
    <row r="57" spans="1:4" ht="18" customHeight="1">
      <c r="A57" s="571"/>
      <c r="B57" s="571">
        <v>2019</v>
      </c>
      <c r="C57" s="571">
        <v>2020</v>
      </c>
      <c r="D57" s="571">
        <v>2021</v>
      </c>
    </row>
    <row r="58" spans="1:4">
      <c r="A58" s="568" t="s">
        <v>250</v>
      </c>
      <c r="B58" s="570">
        <f>'Phân bổ tài chính (Bản chuẩn)'!F52</f>
        <v>0.1</v>
      </c>
      <c r="C58" s="570">
        <f>'Phân bổ tài chính (Bản chuẩn)'!I52</f>
        <v>0.10117133928370692</v>
      </c>
      <c r="D58" s="570">
        <f>'Phân bổ tài chính (Bản chuẩn)'!K52</f>
        <v>6.7390069948396678E-2</v>
      </c>
    </row>
    <row r="59" spans="1:4">
      <c r="A59" s="568" t="s">
        <v>251</v>
      </c>
      <c r="B59" s="570">
        <f>'Phân bổ tài chính (Bản chuẩn)'!F57</f>
        <v>0.14000000000000001</v>
      </c>
      <c r="C59" s="570">
        <f>'Phân bổ tài chính (Bản chuẩn)'!I57</f>
        <v>0.12040333640594438</v>
      </c>
      <c r="D59" s="570">
        <f>'Phân bổ tài chính (Bản chuẩn)'!K57</f>
        <v>8.0200472978453896E-2</v>
      </c>
    </row>
    <row r="60" spans="1:4">
      <c r="A60" s="568" t="s">
        <v>252</v>
      </c>
      <c r="B60" s="570">
        <f>'Phân bổ tài chính (Bản chuẩn)'!F64</f>
        <v>0.2</v>
      </c>
      <c r="C60" s="570">
        <f>'Phân bổ tài chính (Bản chuẩn)'!I64</f>
        <v>0.15</v>
      </c>
      <c r="D60" s="570">
        <f>'Phân bổ tài chính (Bản chuẩn)'!K64</f>
        <v>0.15</v>
      </c>
    </row>
    <row r="61" spans="1:4">
      <c r="A61" s="568" t="s">
        <v>253</v>
      </c>
      <c r="B61" s="570">
        <f>'Phân bổ tài chính (Bản chuẩn)'!F68</f>
        <v>2.1568504431025017E-2</v>
      </c>
      <c r="C61" s="570">
        <f>'Phân bổ tài chính (Bản chuẩn)'!I68</f>
        <v>1.4999999999999999E-2</v>
      </c>
      <c r="D61" s="570">
        <f>'Phân bổ tài chính (Bản chuẩn)'!K68</f>
        <v>1.4999999999999999E-2</v>
      </c>
    </row>
    <row r="62" spans="1:4">
      <c r="A62" s="568" t="s">
        <v>254</v>
      </c>
      <c r="B62" s="570">
        <f>'Phân bổ tài chính (Bản chuẩn)'!F70</f>
        <v>0.10391341855540742</v>
      </c>
      <c r="C62" s="570">
        <f>'Phân bổ tài chính (Bản chuẩn)'!I70</f>
        <v>0.12646417410463365</v>
      </c>
      <c r="D62" s="570">
        <f>'Phân bổ tài chính (Bản chuẩn)'!K70</f>
        <v>9.6717230018532274E-2</v>
      </c>
    </row>
    <row r="63" spans="1:4">
      <c r="A63" s="568" t="s">
        <v>66</v>
      </c>
      <c r="B63" s="570">
        <f>'Phân bổ tài chính (Bản chuẩn)'!F73</f>
        <v>0.25574464747862913</v>
      </c>
      <c r="C63" s="570">
        <f>'Phân bổ tài chính (Bản chuẩn)'!I73</f>
        <v>0.25495177499494143</v>
      </c>
      <c r="D63" s="570">
        <f>'Phân bổ tài chính (Bản chuẩn)'!K73</f>
        <v>0.27712294319890679</v>
      </c>
    </row>
    <row r="64" spans="1:4">
      <c r="A64" s="568" t="s">
        <v>255</v>
      </c>
      <c r="B64" s="570">
        <f>'Phân bổ tài chính (Bản chuẩn)'!F79</f>
        <v>0.03</v>
      </c>
      <c r="C64" s="570">
        <f>'Phân bổ tài chính (Bản chuẩn)'!I79</f>
        <v>0.03</v>
      </c>
      <c r="D64" s="570">
        <f>'Phân bổ tài chính (Bản chuẩn)'!K86</f>
        <v>0.03</v>
      </c>
    </row>
    <row r="65" spans="1:4">
      <c r="A65" s="568" t="s">
        <v>236</v>
      </c>
      <c r="B65" s="570">
        <f>'Phân bổ tài chính (Bản chuẩn)'!F80</f>
        <v>0.23796800250960709</v>
      </c>
      <c r="C65" s="570">
        <f>'Phân bổ tài chính (Bản chuẩn)'!I80</f>
        <v>0.23710380179410509</v>
      </c>
      <c r="D65" s="570">
        <f>'Phân bổ tài chính (Bản chuẩn)'!K80</f>
        <v>0.23543781706091937</v>
      </c>
    </row>
    <row r="66" spans="1:4">
      <c r="A66" s="568" t="s">
        <v>67</v>
      </c>
      <c r="B66" s="570">
        <f>'Phân bổ tài chính (Bản chuẩn)'!F86</f>
        <v>2.7818340484328411E-2</v>
      </c>
      <c r="C66" s="570">
        <f>'Phân bổ tài chính (Bản chuẩn)'!I86</f>
        <v>0.03</v>
      </c>
      <c r="D66" s="570">
        <f>'Phân bổ tài chính (Bản chuẩn)'!K86</f>
        <v>0.03</v>
      </c>
    </row>
    <row r="67" spans="1:4">
      <c r="A67" s="568" t="s">
        <v>266</v>
      </c>
      <c r="B67" s="570">
        <f>SUM(B58:B66)</f>
        <v>1.1170129134589972</v>
      </c>
      <c r="C67" s="570">
        <f t="shared" ref="C67:D67" si="2">SUM(C58:C66)</f>
        <v>1.0650944265833315</v>
      </c>
      <c r="D67" s="570">
        <f t="shared" si="2"/>
        <v>0.98186853320520917</v>
      </c>
    </row>
    <row r="71" spans="1:4">
      <c r="A71" s="714" t="s">
        <v>257</v>
      </c>
      <c r="B71" s="715"/>
      <c r="C71" s="715"/>
      <c r="D71" s="716"/>
    </row>
    <row r="72" spans="1:4">
      <c r="A72" s="571"/>
      <c r="B72" s="571">
        <v>2019</v>
      </c>
      <c r="C72" s="571">
        <v>2020</v>
      </c>
      <c r="D72" s="571">
        <v>2020</v>
      </c>
    </row>
    <row r="73" spans="1:4">
      <c r="A73" s="568" t="s">
        <v>238</v>
      </c>
      <c r="B73" s="573">
        <f>B14</f>
        <v>6375500</v>
      </c>
      <c r="C73" s="573">
        <f>'Phân bổ tài chính (Bản chuẩn)'!H15</f>
        <v>8895800</v>
      </c>
      <c r="D73" s="573">
        <f>'Phân bổ tài chính (Bản chuẩn)'!J15</f>
        <v>16026100</v>
      </c>
    </row>
    <row r="74" spans="1:4">
      <c r="A74" s="568" t="s">
        <v>249</v>
      </c>
      <c r="B74" s="573">
        <f>'Phân bổ tài chính (Bản chuẩn)'!E50</f>
        <v>7135425</v>
      </c>
      <c r="C74" s="573">
        <f>'Phân bổ tài chính (Bản chuẩn)'!H50</f>
        <v>9474867</v>
      </c>
      <c r="D74" s="573">
        <f>'Phân bổ tài chính (Bản chuẩn)'!J50</f>
        <v>15735523.300000001</v>
      </c>
    </row>
    <row r="75" spans="1:4" ht="28">
      <c r="A75" s="574" t="s">
        <v>258</v>
      </c>
      <c r="B75" s="569">
        <f>B74/B73</f>
        <v>1.1191945729746686</v>
      </c>
      <c r="C75" s="569">
        <f t="shared" ref="C75:D75" si="3">C74/C73</f>
        <v>1.0650944265833315</v>
      </c>
      <c r="D75" s="569">
        <f t="shared" si="3"/>
        <v>0.98186853320520906</v>
      </c>
    </row>
  </sheetData>
  <mergeCells count="17">
    <mergeCell ref="A8:J8"/>
    <mergeCell ref="A56:D56"/>
    <mergeCell ref="A12:D12"/>
    <mergeCell ref="A71:D71"/>
    <mergeCell ref="A4:B4"/>
    <mergeCell ref="C4:J4"/>
    <mergeCell ref="A5:B5"/>
    <mergeCell ref="C5:J5"/>
    <mergeCell ref="A6:B6"/>
    <mergeCell ref="C6:J6"/>
    <mergeCell ref="A43:D43"/>
    <mergeCell ref="A1:B1"/>
    <mergeCell ref="C1:J1"/>
    <mergeCell ref="A2:B2"/>
    <mergeCell ref="C2:J2"/>
    <mergeCell ref="A3:B3"/>
    <mergeCell ref="C3:J3"/>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Dự báo doanh thu</vt:lpstr>
      <vt:lpstr>Phan bo Tai chinh</vt:lpstr>
      <vt:lpstr>Dau tu va phan tich TC</vt:lpstr>
      <vt:lpstr>ĐT và PT tài chính (Bản chuẩn)</vt:lpstr>
      <vt:lpstr>Phân bổ tài chính (Bản chuẩn)</vt:lpstr>
      <vt:lpstr>Ke hoach doanh thu</vt:lpstr>
      <vt:lpstr>BÁO CÁO</vt:lpstr>
      <vt:lpstr>'Dự báo doanh thu'!Print_Area</vt:lpstr>
    </vt:vector>
  </TitlesOfParts>
  <Company>TN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Tung Nguyen</dc:creator>
  <cp:lastModifiedBy>Microsoft Office User</cp:lastModifiedBy>
  <cp:lastPrinted>2019-06-10T03:25:31Z</cp:lastPrinted>
  <dcterms:created xsi:type="dcterms:W3CDTF">2008-08-22T07:38:27Z</dcterms:created>
  <dcterms:modified xsi:type="dcterms:W3CDTF">2019-11-06T05:32:06Z</dcterms:modified>
</cp:coreProperties>
</file>